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10" tabRatio="975" activeTab="4"/>
  </bookViews>
  <sheets>
    <sheet name="predaj_2011" sheetId="1" r:id="rId1"/>
    <sheet name="vysledovka_2011" sheetId="2" r:id="rId2"/>
    <sheet name="suvaha_2011" sheetId="3" r:id="rId3"/>
    <sheet name="suhruk_2011" sheetId="4" r:id="rId4"/>
    <sheet name="dcer.spol_2011" sheetId="5" r:id="rId5"/>
    <sheet name="List8" sheetId="6" r:id="rId6"/>
    <sheet name="List9" sheetId="7" r:id="rId7"/>
    <sheet name="List10" sheetId="8" r:id="rId8"/>
    <sheet name="List11" sheetId="9" r:id="rId9"/>
    <sheet name="List12" sheetId="10" r:id="rId10"/>
    <sheet name="List14" sheetId="11" r:id="rId11"/>
    <sheet name="List15" sheetId="12" r:id="rId12"/>
    <sheet name="List16" sheetId="13" r:id="rId13"/>
    <sheet name="List17" sheetId="14" r:id="rId14"/>
    <sheet name="List18" sheetId="15" r:id="rId15"/>
    <sheet name="List19" sheetId="16" r:id="rId16"/>
    <sheet name="List20" sheetId="17" r:id="rId17"/>
    <sheet name="List21" sheetId="18" r:id="rId18"/>
    <sheet name="List22" sheetId="19" r:id="rId19"/>
    <sheet name="List23" sheetId="20" r:id="rId20"/>
    <sheet name="List24" sheetId="21" r:id="rId21"/>
    <sheet name="List25" sheetId="22" r:id="rId22"/>
    <sheet name="List26" sheetId="23" r:id="rId23"/>
    <sheet name="List27" sheetId="24" r:id="rId24"/>
    <sheet name="List28" sheetId="25" r:id="rId25"/>
    <sheet name="List29" sheetId="26" r:id="rId26"/>
    <sheet name="List30" sheetId="27" r:id="rId27"/>
    <sheet name="List31" sheetId="28" r:id="rId28"/>
    <sheet name="List32" sheetId="29" r:id="rId29"/>
    <sheet name="List33" sheetId="30" r:id="rId30"/>
    <sheet name="List34" sheetId="31" r:id="rId31"/>
    <sheet name="List35" sheetId="32" r:id="rId32"/>
    <sheet name="List36" sheetId="33" r:id="rId33"/>
    <sheet name="List37" sheetId="34" r:id="rId34"/>
    <sheet name="List38" sheetId="35" r:id="rId35"/>
    <sheet name="List39" sheetId="36" r:id="rId36"/>
    <sheet name="List40" sheetId="37" r:id="rId37"/>
    <sheet name="List41" sheetId="38" r:id="rId38"/>
    <sheet name="List42" sheetId="39" r:id="rId39"/>
    <sheet name="List43" sheetId="40" r:id="rId40"/>
    <sheet name="List44" sheetId="41" r:id="rId41"/>
    <sheet name="List45" sheetId="42" r:id="rId42"/>
    <sheet name="List46" sheetId="43" r:id="rId43"/>
    <sheet name="List47" sheetId="44" r:id="rId44"/>
    <sheet name="List48" sheetId="45" r:id="rId45"/>
    <sheet name="List49" sheetId="46" r:id="rId46"/>
    <sheet name="List50" sheetId="47" r:id="rId47"/>
    <sheet name="List51" sheetId="48" r:id="rId48"/>
    <sheet name="List52" sheetId="49" r:id="rId49"/>
    <sheet name="List53" sheetId="50" r:id="rId50"/>
    <sheet name="List54" sheetId="51" r:id="rId51"/>
    <sheet name="List55" sheetId="52" r:id="rId52"/>
    <sheet name="List56" sheetId="53" r:id="rId53"/>
    <sheet name="List57" sheetId="54" r:id="rId54"/>
    <sheet name="List58" sheetId="55" r:id="rId55"/>
    <sheet name="List59" sheetId="56" r:id="rId56"/>
    <sheet name="List60" sheetId="57" r:id="rId57"/>
    <sheet name="List61" sheetId="58" r:id="rId58"/>
    <sheet name="List62" sheetId="59" r:id="rId59"/>
    <sheet name="List63" sheetId="60" r:id="rId60"/>
    <sheet name="List64" sheetId="61" r:id="rId61"/>
    <sheet name="List65" sheetId="62" r:id="rId62"/>
    <sheet name="List66" sheetId="63" r:id="rId63"/>
    <sheet name="List67" sheetId="64" r:id="rId64"/>
    <sheet name="List68" sheetId="65" r:id="rId65"/>
    <sheet name="List69" sheetId="66" r:id="rId66"/>
    <sheet name="List70" sheetId="67" r:id="rId67"/>
    <sheet name="List71" sheetId="68" r:id="rId68"/>
    <sheet name="List72" sheetId="69" r:id="rId69"/>
    <sheet name="List73" sheetId="70" r:id="rId70"/>
    <sheet name="List74" sheetId="71" r:id="rId71"/>
    <sheet name="List75" sheetId="72" r:id="rId72"/>
    <sheet name="List76" sheetId="73" r:id="rId73"/>
    <sheet name="List77" sheetId="74" r:id="rId74"/>
    <sheet name="List78" sheetId="75" r:id="rId75"/>
    <sheet name="List79" sheetId="76" r:id="rId76"/>
    <sheet name="List80" sheetId="77" r:id="rId77"/>
    <sheet name="List81" sheetId="78" r:id="rId78"/>
    <sheet name="List82" sheetId="79" r:id="rId79"/>
    <sheet name="List83" sheetId="80" r:id="rId80"/>
    <sheet name="List84" sheetId="81" r:id="rId81"/>
    <sheet name="List85" sheetId="82" r:id="rId82"/>
    <sheet name="List86" sheetId="83" r:id="rId83"/>
    <sheet name="List87" sheetId="84" r:id="rId84"/>
    <sheet name="List88" sheetId="85" r:id="rId85"/>
    <sheet name="List89" sheetId="86" r:id="rId86"/>
    <sheet name="List90" sheetId="87" r:id="rId87"/>
    <sheet name="List91" sheetId="88" r:id="rId88"/>
    <sheet name="List92" sheetId="89" r:id="rId89"/>
    <sheet name="List93" sheetId="90" r:id="rId90"/>
    <sheet name="List94" sheetId="91" r:id="rId91"/>
    <sheet name="List95" sheetId="92" r:id="rId92"/>
    <sheet name="List96" sheetId="93" r:id="rId93"/>
    <sheet name="List97" sheetId="94" r:id="rId94"/>
    <sheet name="List98" sheetId="95" r:id="rId95"/>
    <sheet name="List99" sheetId="96" r:id="rId96"/>
    <sheet name="List100" sheetId="97" r:id="rId97"/>
    <sheet name="List101" sheetId="98" r:id="rId98"/>
    <sheet name="List102" sheetId="99" r:id="rId99"/>
    <sheet name="List103" sheetId="100" r:id="rId100"/>
    <sheet name="List104" sheetId="101" r:id="rId101"/>
    <sheet name="List105" sheetId="102" r:id="rId102"/>
    <sheet name="List106" sheetId="103" r:id="rId103"/>
    <sheet name="List107" sheetId="104" r:id="rId104"/>
    <sheet name="List108" sheetId="105" r:id="rId105"/>
    <sheet name="List109" sheetId="106" r:id="rId106"/>
    <sheet name="List110" sheetId="107" r:id="rId107"/>
    <sheet name="List111" sheetId="108" r:id="rId108"/>
    <sheet name="List112" sheetId="109" r:id="rId109"/>
    <sheet name="List113" sheetId="110" r:id="rId110"/>
    <sheet name="List114" sheetId="111" r:id="rId111"/>
    <sheet name="List115" sheetId="112" r:id="rId112"/>
    <sheet name="List116" sheetId="113" r:id="rId113"/>
    <sheet name="List117" sheetId="114" r:id="rId114"/>
    <sheet name="List118" sheetId="115" r:id="rId115"/>
    <sheet name="List119" sheetId="116" r:id="rId116"/>
    <sheet name="List120" sheetId="117" r:id="rId117"/>
    <sheet name="List121" sheetId="118" r:id="rId118"/>
    <sheet name="List122" sheetId="119" r:id="rId119"/>
    <sheet name="List123" sheetId="120" r:id="rId120"/>
    <sheet name="List124" sheetId="121" r:id="rId121"/>
    <sheet name="List125" sheetId="122" r:id="rId122"/>
    <sheet name="List126" sheetId="123" r:id="rId123"/>
    <sheet name="List127" sheetId="124" r:id="rId124"/>
    <sheet name="List128" sheetId="125" r:id="rId125"/>
    <sheet name="List129" sheetId="126" r:id="rId126"/>
    <sheet name="List130" sheetId="127" r:id="rId127"/>
    <sheet name="List131" sheetId="128" r:id="rId128"/>
    <sheet name="List132" sheetId="129" r:id="rId129"/>
    <sheet name="List133" sheetId="130" r:id="rId130"/>
    <sheet name="List134" sheetId="131" r:id="rId131"/>
    <sheet name="List135" sheetId="132" r:id="rId132"/>
    <sheet name="List136" sheetId="133" r:id="rId133"/>
    <sheet name="List137" sheetId="134" r:id="rId134"/>
    <sheet name="List138" sheetId="135" r:id="rId135"/>
    <sheet name="List139" sheetId="136" r:id="rId136"/>
    <sheet name="List140" sheetId="137" r:id="rId137"/>
    <sheet name="List141" sheetId="138" r:id="rId138"/>
    <sheet name="List142" sheetId="139" r:id="rId139"/>
    <sheet name="List143" sheetId="140" r:id="rId140"/>
    <sheet name="List144" sheetId="141" r:id="rId141"/>
    <sheet name="List145" sheetId="142" r:id="rId142"/>
    <sheet name="List146" sheetId="143" r:id="rId143"/>
    <sheet name="List147" sheetId="144" r:id="rId144"/>
    <sheet name="List148" sheetId="145" r:id="rId145"/>
    <sheet name="List149" sheetId="146" r:id="rId146"/>
    <sheet name="List150" sheetId="147" r:id="rId147"/>
    <sheet name="List151" sheetId="148" r:id="rId148"/>
    <sheet name="List152" sheetId="149" r:id="rId149"/>
    <sheet name="List153" sheetId="150" r:id="rId150"/>
    <sheet name="List154" sheetId="151" r:id="rId151"/>
    <sheet name="List155" sheetId="152" r:id="rId152"/>
    <sheet name="List156" sheetId="153" r:id="rId153"/>
    <sheet name="List157" sheetId="154" r:id="rId154"/>
    <sheet name="List158" sheetId="155" r:id="rId155"/>
    <sheet name="List159" sheetId="156" r:id="rId156"/>
    <sheet name="List160" sheetId="157" r:id="rId157"/>
    <sheet name="List161" sheetId="158" r:id="rId158"/>
    <sheet name="List162" sheetId="159" r:id="rId159"/>
    <sheet name="List163" sheetId="160" r:id="rId160"/>
    <sheet name="List164" sheetId="161" r:id="rId161"/>
    <sheet name="List165" sheetId="162" r:id="rId162"/>
    <sheet name="List166" sheetId="163" r:id="rId163"/>
    <sheet name="List167" sheetId="164" r:id="rId164"/>
    <sheet name="List168" sheetId="165" r:id="rId165"/>
    <sheet name="List169" sheetId="166" r:id="rId166"/>
    <sheet name="List170" sheetId="167" r:id="rId167"/>
    <sheet name="List171" sheetId="168" r:id="rId168"/>
    <sheet name="List172" sheetId="169" r:id="rId169"/>
    <sheet name="List173" sheetId="170" r:id="rId170"/>
    <sheet name="List174" sheetId="171" r:id="rId171"/>
    <sheet name="List175" sheetId="172" r:id="rId172"/>
    <sheet name="List176" sheetId="173" r:id="rId173"/>
    <sheet name="List177" sheetId="174" r:id="rId174"/>
    <sheet name="List178" sheetId="175" r:id="rId175"/>
    <sheet name="List179" sheetId="176" r:id="rId176"/>
    <sheet name="List180" sheetId="177" r:id="rId177"/>
    <sheet name="List181" sheetId="178" r:id="rId178"/>
    <sheet name="List182" sheetId="179" r:id="rId179"/>
    <sheet name="List183" sheetId="180" r:id="rId180"/>
    <sheet name="List184" sheetId="181" r:id="rId181"/>
    <sheet name="List185" sheetId="182" r:id="rId182"/>
    <sheet name="List186" sheetId="183" r:id="rId183"/>
    <sheet name="List187" sheetId="184" r:id="rId184"/>
    <sheet name="List188" sheetId="185" r:id="rId185"/>
    <sheet name="List189" sheetId="186" r:id="rId186"/>
    <sheet name="List190" sheetId="187" r:id="rId187"/>
    <sheet name="List191" sheetId="188" r:id="rId188"/>
    <sheet name="List192" sheetId="189" r:id="rId189"/>
    <sheet name="List193" sheetId="190" r:id="rId190"/>
    <sheet name="List194" sheetId="191" r:id="rId191"/>
    <sheet name="List195" sheetId="192" r:id="rId192"/>
    <sheet name="List196" sheetId="193" r:id="rId193"/>
    <sheet name="List197" sheetId="194" r:id="rId194"/>
    <sheet name="List198" sheetId="195" r:id="rId195"/>
    <sheet name="List199" sheetId="196" r:id="rId196"/>
    <sheet name="List200" sheetId="197" r:id="rId197"/>
    <sheet name="List201" sheetId="198" r:id="rId198"/>
    <sheet name="List202" sheetId="199" r:id="rId199"/>
    <sheet name="List203" sheetId="200" r:id="rId200"/>
    <sheet name="List204" sheetId="201" r:id="rId201"/>
    <sheet name="List205" sheetId="202" r:id="rId202"/>
    <sheet name="List206" sheetId="203" r:id="rId203"/>
    <sheet name="List207" sheetId="204" r:id="rId204"/>
    <sheet name="List208" sheetId="205" r:id="rId205"/>
    <sheet name="List209" sheetId="206" r:id="rId206"/>
    <sheet name="List210" sheetId="207" r:id="rId207"/>
    <sheet name="List211" sheetId="208" r:id="rId208"/>
    <sheet name="List212" sheetId="209" r:id="rId209"/>
    <sheet name="List213" sheetId="210" r:id="rId210"/>
    <sheet name="List214" sheetId="211" r:id="rId211"/>
    <sheet name="List215" sheetId="212" r:id="rId212"/>
    <sheet name="List216" sheetId="213" r:id="rId213"/>
    <sheet name="List217" sheetId="214" r:id="rId214"/>
    <sheet name="List218" sheetId="215" r:id="rId215"/>
    <sheet name="List219" sheetId="216" r:id="rId216"/>
    <sheet name="List220" sheetId="217" r:id="rId217"/>
    <sheet name="List221" sheetId="218" r:id="rId218"/>
    <sheet name="List222" sheetId="219" r:id="rId219"/>
    <sheet name="List223" sheetId="220" r:id="rId220"/>
    <sheet name="List224" sheetId="221" r:id="rId221"/>
    <sheet name="List225" sheetId="222" r:id="rId222"/>
    <sheet name="List226" sheetId="223" r:id="rId223"/>
    <sheet name="List227" sheetId="224" r:id="rId224"/>
    <sheet name="List228" sheetId="225" r:id="rId225"/>
    <sheet name="List229" sheetId="226" r:id="rId226"/>
    <sheet name="List230" sheetId="227" r:id="rId227"/>
    <sheet name="List231" sheetId="228" r:id="rId228"/>
    <sheet name="List232" sheetId="229" r:id="rId229"/>
    <sheet name="List233" sheetId="230" r:id="rId230"/>
    <sheet name="List234" sheetId="231" r:id="rId231"/>
    <sheet name="List235" sheetId="232" r:id="rId232"/>
    <sheet name="List236" sheetId="233" r:id="rId233"/>
    <sheet name="List237" sheetId="234" r:id="rId234"/>
    <sheet name="List238" sheetId="235" r:id="rId235"/>
    <sheet name="List239" sheetId="236" r:id="rId236"/>
    <sheet name="List240" sheetId="237" r:id="rId237"/>
    <sheet name="List241" sheetId="238" r:id="rId238"/>
    <sheet name="List242" sheetId="239" r:id="rId239"/>
    <sheet name="List243" sheetId="240" r:id="rId240"/>
    <sheet name="List244" sheetId="241" r:id="rId241"/>
    <sheet name="List245" sheetId="242" r:id="rId242"/>
    <sheet name="List246" sheetId="243" r:id="rId243"/>
    <sheet name="List247" sheetId="244" r:id="rId244"/>
    <sheet name="List248" sheetId="245" r:id="rId245"/>
    <sheet name="List249" sheetId="246" r:id="rId246"/>
    <sheet name="List250" sheetId="247" r:id="rId247"/>
    <sheet name="List251" sheetId="248" r:id="rId248"/>
    <sheet name="List252" sheetId="249" r:id="rId249"/>
    <sheet name="List253" sheetId="250" r:id="rId250"/>
    <sheet name="List254" sheetId="251" r:id="rId251"/>
    <sheet name="List255" sheetId="252" r:id="rId252"/>
  </sheets>
  <definedNames/>
  <calcPr fullCalcOnLoad="1"/>
</workbook>
</file>

<file path=xl/sharedStrings.xml><?xml version="1.0" encoding="utf-8"?>
<sst xmlns="http://schemas.openxmlformats.org/spreadsheetml/2006/main" count="172" uniqueCount="137">
  <si>
    <t>Prehľad o výrobe a obchode</t>
  </si>
  <si>
    <t>Plodina</t>
  </si>
  <si>
    <t>Indexy - tony</t>
  </si>
  <si>
    <t>tony</t>
  </si>
  <si>
    <t>OBILNINY</t>
  </si>
  <si>
    <t>Jariny</t>
  </si>
  <si>
    <t>Oziminy</t>
  </si>
  <si>
    <t>KUKURICA</t>
  </si>
  <si>
    <t>vo výs.jed.</t>
  </si>
  <si>
    <t>STRUKOVINY</t>
  </si>
  <si>
    <t>Hrach siaty</t>
  </si>
  <si>
    <t>Peluška</t>
  </si>
  <si>
    <t>Ostatné strukoviny</t>
  </si>
  <si>
    <t>OLEJNINY</t>
  </si>
  <si>
    <t>Ostatné olejniny</t>
  </si>
  <si>
    <t>Slnečnica vo v.j.</t>
  </si>
  <si>
    <t xml:space="preserve">ZEMIAKY </t>
  </si>
  <si>
    <t>Zemiaky</t>
  </si>
  <si>
    <t>Ostatné okopaniny</t>
  </si>
  <si>
    <t>TRÁVY</t>
  </si>
  <si>
    <t>Ďateliny a lucerny</t>
  </si>
  <si>
    <t>PREDAJ V ROKU</t>
  </si>
  <si>
    <t>Tržby za predaj tovaru (I)</t>
  </si>
  <si>
    <t>Náklady vynaložené na predaný tovar (A)</t>
  </si>
  <si>
    <t>Obchodná marža</t>
  </si>
  <si>
    <t>Výroba (II)</t>
  </si>
  <si>
    <t>Tržby za predaj vlastných výrobkov a služieb (II.1.)</t>
  </si>
  <si>
    <t>Zmena stavu vnútrop. zásob vlastnej výroby (II.2.)</t>
  </si>
  <si>
    <t>Aktivácia (II.3)</t>
  </si>
  <si>
    <t>Výrobná spotreba (B)</t>
  </si>
  <si>
    <t>Spotreba materiálu a energie (B.1.)</t>
  </si>
  <si>
    <t>Služby (B.2.)</t>
  </si>
  <si>
    <t xml:space="preserve">Pridaná hodnota </t>
  </si>
  <si>
    <t>Osobné náklady (C)</t>
  </si>
  <si>
    <t>Dane a poplatky (D)</t>
  </si>
  <si>
    <t>Odpisy nehmotného a hmotného IM (E)</t>
  </si>
  <si>
    <t xml:space="preserve">Hospodársky výsledok z finančných operácií </t>
  </si>
  <si>
    <t xml:space="preserve">Hospodársky výsledok za bežnú činnosť </t>
  </si>
  <si>
    <t>Mimoriadne výnosy</t>
  </si>
  <si>
    <t xml:space="preserve">Mimoriadne náklady </t>
  </si>
  <si>
    <t>Daň z príjmov z mimoriadnej činnosti</t>
  </si>
  <si>
    <t xml:space="preserve">Mimoriadny hospodársky výsledok </t>
  </si>
  <si>
    <t xml:space="preserve">Hosp. výsledok za účtovné obdobie </t>
  </si>
  <si>
    <t>Pohľadávky za upísané vl. imanie</t>
  </si>
  <si>
    <t>z toho</t>
  </si>
  <si>
    <t>zásoby</t>
  </si>
  <si>
    <t>dlhodobé pohľadávky</t>
  </si>
  <si>
    <t>krátkodobé pohľadávky</t>
  </si>
  <si>
    <t>Vlastné imanie</t>
  </si>
  <si>
    <t>základné imanie</t>
  </si>
  <si>
    <t xml:space="preserve">kapitálové fondy </t>
  </si>
  <si>
    <t>fondy tvorené zo zisku</t>
  </si>
  <si>
    <t>hospodársky výsl. min. rokov</t>
  </si>
  <si>
    <t>hospodársky výsl. bež. obdobia</t>
  </si>
  <si>
    <t>dlhodobé záväzky</t>
  </si>
  <si>
    <t>krátkodobé záväzky</t>
  </si>
  <si>
    <t>Ukazovateľ</t>
  </si>
  <si>
    <t xml:space="preserve">Merná </t>
  </si>
  <si>
    <t>rok</t>
  </si>
  <si>
    <t>jednotka</t>
  </si>
  <si>
    <t>Hospodársky výsledok po zdanení</t>
  </si>
  <si>
    <t>Výnosy celkom</t>
  </si>
  <si>
    <t>z toho:  tržby z predaja</t>
  </si>
  <si>
    <t>Náklady celkom</t>
  </si>
  <si>
    <t>Pridaná hodnota</t>
  </si>
  <si>
    <t>Ziskovosť aktív</t>
  </si>
  <si>
    <t>%</t>
  </si>
  <si>
    <t>Miera čistého zisku</t>
  </si>
  <si>
    <t>Výnosovosť akcie</t>
  </si>
  <si>
    <t>Celková zadĺženosť</t>
  </si>
  <si>
    <t>Úverová zadĺženosť</t>
  </si>
  <si>
    <t>Bežná likvidita</t>
  </si>
  <si>
    <t>Celková likvidita</t>
  </si>
  <si>
    <t>Zamestnanci</t>
  </si>
  <si>
    <t>osoby</t>
  </si>
  <si>
    <t>Priemerný zárobok</t>
  </si>
  <si>
    <t>Produktivita práce k tržbám</t>
  </si>
  <si>
    <t>Pridaná hodnota na zamestnanca</t>
  </si>
  <si>
    <t>Účasť spoločnosti na podnikaní iných subjektov</t>
  </si>
  <si>
    <t>Názov spoločnosti</t>
  </si>
  <si>
    <t>Podiel na</t>
  </si>
  <si>
    <t>základ. imaní</t>
  </si>
  <si>
    <t>OSIVOAGRO-STRED, spol.s r.o. ZVOLEN</t>
  </si>
  <si>
    <t>OSIVOAGRO, Nové Zámky, s.r.o.</t>
  </si>
  <si>
    <t>Kapitálové účasti spolu</t>
  </si>
  <si>
    <t>Pohľadávky</t>
  </si>
  <si>
    <t>Záväzky</t>
  </si>
  <si>
    <t>Obilniny</t>
  </si>
  <si>
    <t>Prevádzkový hospodársky výsledok</t>
  </si>
  <si>
    <t xml:space="preserve">Hospodársky </t>
  </si>
  <si>
    <t>ROSARA - odbytové družstvo zemiakárov</t>
  </si>
  <si>
    <t>OSIVOAGRO N.ZÁMKY</t>
  </si>
  <si>
    <t>ROSARA</t>
  </si>
  <si>
    <t>OSIVOAGRO STRED</t>
  </si>
  <si>
    <t>dlhodobý finančný majetok</t>
  </si>
  <si>
    <t>Časové rozlíšenie</t>
  </si>
  <si>
    <t>krátkodobé rezervy</t>
  </si>
  <si>
    <t>Tržby z predaja dlhodobého majetku, ostatné výnosy (III.+IV)</t>
  </si>
  <si>
    <t>Finančné výnosy VI+VII+VIII+IX+X+XI+XII+XIII+XIV)</t>
  </si>
  <si>
    <t>Splatná daň z príjmov za bežnú činnosť (R.1.)</t>
  </si>
  <si>
    <t>Odložená daň z príjmov za bežnú činnosť (R.2.)</t>
  </si>
  <si>
    <t>Obstarávacia cena vkladu</t>
  </si>
  <si>
    <t>v EUR</t>
  </si>
  <si>
    <t>EUR</t>
  </si>
  <si>
    <t>Zisk na 100 EUR tržieb</t>
  </si>
  <si>
    <t xml:space="preserve">Zost.cena predaného dlhodob.majetku, ostatné náklady (F + H)  </t>
  </si>
  <si>
    <t xml:space="preserve"> v EUR</t>
  </si>
  <si>
    <t xml:space="preserve"> výsledok EUR </t>
  </si>
  <si>
    <t>SPOLU v EUR</t>
  </si>
  <si>
    <t>Tvorba a zúčtovanie  opravných položiek k pohľadávkam (G)</t>
  </si>
  <si>
    <t>dlhodobý nehmotný majetok</t>
  </si>
  <si>
    <t>dlhodobý hmotný majetok</t>
  </si>
  <si>
    <t>finančné účty</t>
  </si>
  <si>
    <t>bankové úvery</t>
  </si>
  <si>
    <t xml:space="preserve"> - bankové úvery dlhodobé</t>
  </si>
  <si>
    <t xml:space="preserve"> - bežné bankové úvery</t>
  </si>
  <si>
    <t>Trávy a trávne zmesi</t>
  </si>
  <si>
    <t>10/09</t>
  </si>
  <si>
    <t>Finančné náklady (J+K+L+M+N+O+P)</t>
  </si>
  <si>
    <t>Predaj osív a sadby v rokoch 2009 - 2011</t>
  </si>
  <si>
    <t>11/10</t>
  </si>
  <si>
    <t>11/09</t>
  </si>
  <si>
    <t>HOSPODÁRSKE VÝSLEDKY ZA ROK 2011</t>
  </si>
  <si>
    <t>Výkaz ziskov a strát 2008 - 2011 (v EUR)</t>
  </si>
  <si>
    <t>Súvaha OSIVO a.s. 2008 - 2011 (v EUR)</t>
  </si>
  <si>
    <t>Neobežný majetok</t>
  </si>
  <si>
    <t>Obežný majetok</t>
  </si>
  <si>
    <t>SPOLU VLASTNÉ IMANIE A ZÁVAZKY</t>
  </si>
  <si>
    <t>SPOLU MAJETOK</t>
  </si>
  <si>
    <t>HOSPODÁRSKE VÝSLEDKY ZA ROK  2011</t>
  </si>
  <si>
    <t>Prehľad hlavných ukazovateľov za roky 2008 - 2011  (v EUR)</t>
  </si>
  <si>
    <t>Repka ozimná vo v.j.</t>
  </si>
  <si>
    <t>SLAD</t>
  </si>
  <si>
    <t>Slad</t>
  </si>
  <si>
    <t>Poznámka: Výnosy celkom za rok 2011 sú nižie ako tržby z predaj z dôvodu účtovania zmeny stavu vnútroorganizačných</t>
  </si>
  <si>
    <t>zásob na účte 613.</t>
  </si>
  <si>
    <t>Poznámka: Výnosy celkom za rok 2011 sú nižie ako tržby z predaja z dôvodu účtovania zmeny stavu vnútroorganizačných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</si>
</sst>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#,##0.0"/>
    <numFmt numFmtId="174" formatCode="00#,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50"/>
      <name val="Arial CE"/>
      <family val="2"/>
    </font>
    <font>
      <b/>
      <i/>
      <sz val="24"/>
      <color indexed="17"/>
      <name val="Times New Roman CE"/>
      <family val="1"/>
    </font>
    <font>
      <b/>
      <sz val="14"/>
      <color indexed="50"/>
      <name val="Arial CE"/>
      <family val="2"/>
    </font>
    <font>
      <b/>
      <i/>
      <sz val="18"/>
      <color indexed="51"/>
      <name val="Times New Roman CE"/>
      <family val="1"/>
    </font>
    <font>
      <b/>
      <i/>
      <sz val="10"/>
      <color indexed="50"/>
      <name val="Arial CE"/>
      <family val="2"/>
    </font>
    <font>
      <b/>
      <sz val="12"/>
      <name val="Arial CE"/>
      <family val="0"/>
    </font>
    <font>
      <b/>
      <i/>
      <sz val="11"/>
      <name val="Arial CE"/>
      <family val="2"/>
    </font>
    <font>
      <i/>
      <sz val="11"/>
      <name val="Arial CE"/>
      <family val="2"/>
    </font>
    <font>
      <b/>
      <i/>
      <sz val="14"/>
      <name val="Arial CE"/>
      <family val="2"/>
    </font>
    <font>
      <sz val="12"/>
      <name val="Arial CE"/>
      <family val="2"/>
    </font>
    <font>
      <b/>
      <i/>
      <sz val="24"/>
      <color indexed="50"/>
      <name val="Times New Roman CE"/>
      <family val="1"/>
    </font>
    <font>
      <b/>
      <i/>
      <sz val="22"/>
      <color indexed="17"/>
      <name val="Times New Roman CE"/>
      <family val="1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i/>
      <sz val="20"/>
      <color indexed="17"/>
      <name val="Times New Roman CE"/>
      <family val="1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b/>
      <i/>
      <sz val="18"/>
      <color indexed="51"/>
      <name val="Arial CE"/>
      <family val="2"/>
    </font>
    <font>
      <sz val="8"/>
      <name val="Arial CE"/>
      <family val="0"/>
    </font>
    <font>
      <b/>
      <i/>
      <sz val="9"/>
      <name val="Arial CE"/>
      <family val="2"/>
    </font>
    <font>
      <b/>
      <sz val="9"/>
      <name val="Arial CE"/>
      <family val="2"/>
    </font>
    <font>
      <b/>
      <sz val="14"/>
      <color indexed="17"/>
      <name val="Times New Roman CE"/>
      <family val="1"/>
    </font>
    <font>
      <i/>
      <sz val="9"/>
      <name val="Arial CE"/>
      <family val="2"/>
    </font>
    <font>
      <b/>
      <sz val="11"/>
      <color indexed="17"/>
      <name val="Arial CE"/>
      <family val="0"/>
    </font>
    <font>
      <i/>
      <sz val="8"/>
      <color indexed="17"/>
      <name val="Arial CE"/>
      <family val="0"/>
    </font>
    <font>
      <i/>
      <sz val="8"/>
      <name val="Arial CE"/>
      <family val="0"/>
    </font>
    <font>
      <b/>
      <i/>
      <sz val="9"/>
      <color indexed="50"/>
      <name val="Arial CE"/>
      <family val="2"/>
    </font>
    <font>
      <b/>
      <sz val="7"/>
      <name val="Arial CE"/>
      <family val="0"/>
    </font>
    <font>
      <b/>
      <sz val="7"/>
      <color indexed="13"/>
      <name val="Arial CE"/>
      <family val="0"/>
    </font>
    <font>
      <b/>
      <sz val="7"/>
      <color indexed="11"/>
      <name val="Arial CE"/>
      <family val="0"/>
    </font>
    <font>
      <b/>
      <sz val="8"/>
      <name val="Arial CE"/>
      <family val="0"/>
    </font>
    <font>
      <b/>
      <sz val="8"/>
      <color indexed="13"/>
      <name val="Arial CE"/>
      <family val="0"/>
    </font>
    <font>
      <b/>
      <sz val="11"/>
      <color indexed="50"/>
      <name val="Arial CE"/>
      <family val="0"/>
    </font>
    <font>
      <b/>
      <sz val="8"/>
      <color indexed="11"/>
      <name val="Arial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9" fillId="2" borderId="0" xfId="0" applyFont="1" applyFill="1" applyBorder="1" applyAlignment="1">
      <alignment horizontal="centerContinuous"/>
    </xf>
    <xf numFmtId="3" fontId="9" fillId="2" borderId="0" xfId="0" applyNumberFormat="1" applyFont="1" applyFill="1" applyBorder="1" applyAlignment="1">
      <alignment horizontal="centerContinuous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0" fillId="3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3" fontId="10" fillId="3" borderId="0" xfId="0" applyNumberFormat="1" applyFont="1" applyFill="1" applyBorder="1" applyAlignment="1">
      <alignment/>
    </xf>
    <xf numFmtId="172" fontId="10" fillId="3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3" fontId="10" fillId="3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Border="1" applyAlignment="1">
      <alignment/>
    </xf>
    <xf numFmtId="172" fontId="9" fillId="2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centerContinuous"/>
    </xf>
    <xf numFmtId="17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172" fontId="9" fillId="2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Continuous"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6" fillId="3" borderId="0" xfId="0" applyFont="1" applyFill="1" applyBorder="1" applyAlignment="1">
      <alignment/>
    </xf>
    <xf numFmtId="3" fontId="16" fillId="3" borderId="0" xfId="0" applyNumberFormat="1" applyFont="1" applyFill="1" applyBorder="1" applyAlignment="1">
      <alignment/>
    </xf>
    <xf numFmtId="174" fontId="16" fillId="3" borderId="0" xfId="0" applyNumberFormat="1" applyFont="1" applyFill="1" applyBorder="1" applyAlignment="1" applyProtection="1">
      <alignment vertical="top"/>
      <protection/>
    </xf>
    <xf numFmtId="174" fontId="0" fillId="0" borderId="0" xfId="0" applyNumberFormat="1" applyFill="1" applyBorder="1" applyAlignment="1" applyProtection="1">
      <alignment vertical="top"/>
      <protection/>
    </xf>
    <xf numFmtId="0" fontId="17" fillId="3" borderId="0" xfId="0" applyFont="1" applyFill="1" applyBorder="1" applyAlignment="1">
      <alignment vertical="center"/>
    </xf>
    <xf numFmtId="3" fontId="17" fillId="3" borderId="0" xfId="0" applyNumberFormat="1" applyFont="1" applyFill="1" applyBorder="1" applyAlignment="1">
      <alignment/>
    </xf>
    <xf numFmtId="0" fontId="16" fillId="3" borderId="0" xfId="0" applyFont="1" applyFill="1" applyBorder="1" applyAlignment="1">
      <alignment vertical="center"/>
    </xf>
    <xf numFmtId="3" fontId="16" fillId="3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/>
    </xf>
    <xf numFmtId="0" fontId="19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6" fillId="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0" fillId="3" borderId="0" xfId="0" applyFill="1" applyAlignment="1">
      <alignment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3" fontId="0" fillId="0" borderId="0" xfId="0" applyNumberForma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7" fillId="3" borderId="0" xfId="0" applyFont="1" applyFill="1" applyAlignment="1">
      <alignment/>
    </xf>
    <xf numFmtId="10" fontId="17" fillId="3" borderId="0" xfId="0" applyNumberFormat="1" applyFont="1" applyFill="1" applyAlignment="1">
      <alignment horizontal="center"/>
    </xf>
    <xf numFmtId="3" fontId="17" fillId="3" borderId="0" xfId="0" applyNumberFormat="1" applyFont="1" applyFill="1" applyAlignment="1">
      <alignment horizontal="right"/>
    </xf>
    <xf numFmtId="0" fontId="17" fillId="3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10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" fontId="17" fillId="0" borderId="0" xfId="0" applyNumberFormat="1" applyFont="1" applyFill="1" applyAlignment="1">
      <alignment horizontal="center"/>
    </xf>
    <xf numFmtId="4" fontId="17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3" fontId="12" fillId="2" borderId="0" xfId="0" applyNumberFormat="1" applyFont="1" applyFill="1" applyAlignment="1">
      <alignment horizontal="right"/>
    </xf>
    <xf numFmtId="9" fontId="0" fillId="0" borderId="0" xfId="0" applyNumberFormat="1" applyAlignment="1">
      <alignment/>
    </xf>
    <xf numFmtId="0" fontId="26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9" fillId="2" borderId="0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4" fontId="17" fillId="3" borderId="0" xfId="0" applyNumberFormat="1" applyFont="1" applyFill="1" applyAlignment="1">
      <alignment horizontal="right"/>
    </xf>
    <xf numFmtId="4" fontId="17" fillId="0" borderId="0" xfId="0" applyNumberFormat="1" applyFont="1" applyFill="1" applyAlignment="1">
      <alignment horizontal="right"/>
    </xf>
    <xf numFmtId="4" fontId="12" fillId="2" borderId="0" xfId="0" applyNumberFormat="1" applyFont="1" applyFill="1" applyAlignment="1">
      <alignment horizontal="right"/>
    </xf>
    <xf numFmtId="0" fontId="42" fillId="0" borderId="0" xfId="0" applyFont="1" applyAlignment="1">
      <alignment/>
    </xf>
    <xf numFmtId="0" fontId="23" fillId="0" borderId="0" xfId="0" applyFont="1" applyAlignment="1">
      <alignment/>
    </xf>
    <xf numFmtId="0" fontId="9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styles" Target="styles.xml" /><Relationship Id="rId254" Type="http://schemas.openxmlformats.org/officeDocument/2006/relationships/sharedStrings" Target="sharedStrings.xml" /><Relationship Id="rId25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rPr>
              <a:t>Predaj obilnín a sladu
 ( v tonách 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175"/>
          <c:y val="0.13675"/>
          <c:w val="0.82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List11!$A$3</c:f>
              <c:strCache>
                <c:ptCount val="1"/>
                <c:pt idx="0">
                  <c:v>Obilniny</c:v>
                </c:pt>
              </c:strCache>
            </c:strRef>
          </c:tx>
          <c:spPr>
            <a:solidFill>
              <a:srgbClr val="33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List11!$B$2:$D$2</c:f>
              <c:num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List11!$B$3:$D$3</c:f>
              <c:numCache>
                <c:ptCount val="3"/>
                <c:pt idx="0">
                  <c:v>8391</c:v>
                </c:pt>
                <c:pt idx="1">
                  <c:v>9970</c:v>
                </c:pt>
                <c:pt idx="2">
                  <c:v>10930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List11!$A$4</c:f>
              <c:strCache>
                <c:ptCount val="1"/>
                <c:pt idx="0">
                  <c:v>Slad</c:v>
                </c:pt>
              </c:strCache>
            </c:strRef>
          </c:tx>
          <c:spPr>
            <a:solidFill>
              <a:srgbClr val="99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List11!$B$2:$D$2</c:f>
              <c:num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List11!$B$4:$D$4</c:f>
              <c:numCache>
                <c:ptCount val="3"/>
                <c:pt idx="0">
                  <c:v>4736</c:v>
                </c:pt>
                <c:pt idx="1">
                  <c:v>7003</c:v>
                </c:pt>
                <c:pt idx="2">
                  <c:v>8474</c:v>
                </c:pt>
              </c:numCache>
            </c:numRef>
          </c:val>
          <c:shape val="cylinder"/>
        </c:ser>
        <c:shape val="box"/>
        <c:axId val="25086721"/>
        <c:axId val="24453898"/>
      </c:bar3DChart>
      <c:catAx>
        <c:axId val="25086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339933"/>
            </a:solidFill>
          </a:ln>
        </c:spPr>
        <c:txPr>
          <a:bodyPr/>
          <a:lstStyle/>
          <a:p>
            <a:pPr>
              <a:defRPr lang="en-US" cap="none" sz="900" b="1" i="1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defRPr>
            </a:pPr>
          </a:p>
        </c:txPr>
        <c:crossAx val="24453898"/>
        <c:crosses val="autoZero"/>
        <c:auto val="0"/>
        <c:lblOffset val="100"/>
        <c:noMultiLvlLbl val="0"/>
      </c:catAx>
      <c:valAx>
        <c:axId val="24453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rPr>
                  <a:t>Tony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339933"/>
            </a:solidFill>
          </a:ln>
        </c:spPr>
        <c:txPr>
          <a:bodyPr/>
          <a:lstStyle/>
          <a:p>
            <a:pPr>
              <a:defRPr lang="en-US" cap="none" sz="900" b="1" i="1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defRPr>
            </a:pPr>
          </a:p>
        </c:txPr>
        <c:crossAx val="25086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25"/>
          <c:y val="0.8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 CE"/>
              <a:ea typeface="Arial CE"/>
              <a:cs typeface="Arial CE"/>
            </a:defRPr>
          </a:pPr>
        </a:p>
      </c:txPr>
    </c:legend>
    <c:floor>
      <c:spPr>
        <a:gradFill rotWithShape="1">
          <a:gsLst>
            <a:gs pos="0">
              <a:srgbClr val="FFFFC0"/>
            </a:gs>
            <a:gs pos="100000">
              <a:srgbClr val="757558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FFC0"/>
            </a:gs>
            <a:gs pos="100000">
              <a:srgbClr val="75755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0"/>
            </a:gs>
            <a:gs pos="100000">
              <a:srgbClr val="75755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solidFill>
        <a:srgbClr val="008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  <a:latin typeface="Arial CE"/>
                <a:ea typeface="Arial CE"/>
                <a:cs typeface="Arial CE"/>
              </a:rPr>
              <a:t>Vývoj  pohľadávok a krátkodobých záväzkov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525"/>
          <c:y val="0.0865"/>
          <c:w val="0.92575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List10!$A$3</c:f>
              <c:strCache>
                <c:ptCount val="1"/>
                <c:pt idx="0">
                  <c:v>Pohľadávky</c:v>
                </c:pt>
              </c:strCache>
            </c:strRef>
          </c:tx>
          <c:spPr>
            <a:solidFill>
              <a:srgbClr val="99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List10!$B$2:$E$2</c:f>
              <c:num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List10!$B$3:$E$3</c:f>
              <c:numCache>
                <c:ptCount val="4"/>
                <c:pt idx="0">
                  <c:v>6355768</c:v>
                </c:pt>
                <c:pt idx="1">
                  <c:v>4926313</c:v>
                </c:pt>
                <c:pt idx="2">
                  <c:v>4422211</c:v>
                </c:pt>
                <c:pt idx="3">
                  <c:v>4553626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List10!$A$4</c:f>
              <c:strCache>
                <c:ptCount val="1"/>
                <c:pt idx="0">
                  <c:v>Záväzky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List10!$B$2:$E$2</c:f>
              <c:num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List10!$B$4:$E$4</c:f>
              <c:numCache>
                <c:ptCount val="4"/>
                <c:pt idx="0">
                  <c:v>4567181</c:v>
                </c:pt>
                <c:pt idx="1">
                  <c:v>4453675</c:v>
                </c:pt>
                <c:pt idx="2">
                  <c:v>4369965</c:v>
                </c:pt>
                <c:pt idx="3">
                  <c:v>3009117</c:v>
                </c:pt>
              </c:numCache>
            </c:numRef>
          </c:val>
          <c:shape val="cylinder"/>
        </c:ser>
        <c:gapDepth val="0"/>
        <c:shape val="box"/>
        <c:axId val="18758491"/>
        <c:axId val="34608692"/>
      </c:bar3DChart>
      <c:catAx>
        <c:axId val="1875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339933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defRPr>
            </a:pPr>
          </a:p>
        </c:txPr>
        <c:crossAx val="34608692"/>
        <c:crosses val="autoZero"/>
        <c:auto val="0"/>
        <c:lblOffset val="100"/>
        <c:noMultiLvlLbl val="0"/>
      </c:catAx>
      <c:valAx>
        <c:axId val="34608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rPr>
                  <a:t>
Pohľadávky a záväzky</a:t>
                </a:r>
              </a:p>
            </c:rich>
          </c:tx>
          <c:layout>
            <c:manualLayout>
              <c:xMode val="factor"/>
              <c:yMode val="factor"/>
              <c:x val="-0.02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9933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defRPr>
            </a:pPr>
          </a:p>
        </c:txPr>
        <c:crossAx val="18758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8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1" u="none" baseline="0">
              <a:latin typeface="Arial CE"/>
              <a:ea typeface="Arial CE"/>
              <a:cs typeface="Arial CE"/>
            </a:defRPr>
          </a:pPr>
        </a:p>
      </c:txPr>
    </c:legend>
    <c:floor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12700">
      <a:solidFill>
        <a:srgbClr val="339933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  <a:latin typeface="Arial CE"/>
                <a:ea typeface="Arial CE"/>
                <a:cs typeface="Arial CE"/>
              </a:rPr>
              <a:t>Vývoj pridanej hodnoty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475"/>
          <c:y val="0.135"/>
          <c:w val="0.78125"/>
          <c:h val="0.84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List9!$A$5</c:f>
              <c:strCache>
                <c:ptCount val="1"/>
                <c:pt idx="0">
                  <c:v>Pridaná hodnota</c:v>
                </c:pt>
              </c:strCache>
            </c:strRef>
          </c:tx>
          <c:spPr>
            <a:gradFill rotWithShape="1">
              <a:gsLst>
                <a:gs pos="0">
                  <a:srgbClr val="339933"/>
                </a:gs>
                <a:gs pos="100000">
                  <a:srgbClr val="174617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List9!$B$4:$E$4</c:f>
              <c:num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List9!$B$5:$E$5</c:f>
              <c:numCache>
                <c:ptCount val="4"/>
                <c:pt idx="0">
                  <c:v>3535634</c:v>
                </c:pt>
                <c:pt idx="1">
                  <c:v>-6252</c:v>
                </c:pt>
                <c:pt idx="2">
                  <c:v>3033701</c:v>
                </c:pt>
                <c:pt idx="3">
                  <c:v>2648216</c:v>
                </c:pt>
              </c:numCache>
            </c:numRef>
          </c:val>
          <c:shape val="cylinder"/>
        </c:ser>
        <c:gapDepth val="0"/>
        <c:shape val="box"/>
        <c:axId val="43042773"/>
        <c:axId val="51840638"/>
      </c:bar3DChart>
      <c:catAx>
        <c:axId val="4304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8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900" b="0" i="1" u="none" baseline="0">
                <a:solidFill>
                  <a:srgbClr val="008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840638"/>
        <c:crosses val="autoZero"/>
        <c:auto val="0"/>
        <c:lblOffset val="100"/>
        <c:noMultiLvlLbl val="0"/>
      </c:catAx>
      <c:valAx>
        <c:axId val="5184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8000"/>
                    </a:solidFill>
                    <a:latin typeface="Arial CE"/>
                    <a:ea typeface="Arial CE"/>
                    <a:cs typeface="Arial CE"/>
                  </a:rPr>
                  <a:t>Pridaná hodnota v tis. Sk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9933"/>
            </a:solidFill>
          </a:ln>
        </c:spPr>
        <c:txPr>
          <a:bodyPr/>
          <a:lstStyle/>
          <a:p>
            <a:pPr>
              <a:defRPr lang="en-US" cap="none" sz="900" b="0" i="1" u="none" baseline="0">
                <a:solidFill>
                  <a:srgbClr val="008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3042773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>
        <a:srgbClr val="339933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  <a:latin typeface="Arial CE"/>
                <a:ea typeface="Arial CE"/>
                <a:cs typeface="Arial CE"/>
              </a:rPr>
              <a:t>Podiel obstarávacích cien dcérskych podnikov a podnikov s podstaným vplyvom</a:t>
            </a:r>
          </a:p>
        </c:rich>
      </c:tx>
      <c:layout>
        <c:manualLayout>
          <c:xMode val="factor"/>
          <c:yMode val="factor"/>
          <c:x val="-0.2425"/>
          <c:y val="-0.01925"/>
        </c:manualLayout>
      </c:layout>
      <c:spPr>
        <a:noFill/>
        <a:ln>
          <a:noFill/>
        </a:ln>
      </c:spPr>
    </c:title>
    <c:view3D>
      <c:rotX val="40"/>
      <c:hPercent val="100"/>
      <c:rotY val="100"/>
      <c:depthPercent val="200"/>
      <c:rAngAx val="1"/>
    </c:view3D>
    <c:plotArea>
      <c:layout>
        <c:manualLayout>
          <c:xMode val="edge"/>
          <c:yMode val="edge"/>
          <c:x val="0.026"/>
          <c:y val="0.20025"/>
          <c:w val="0.907"/>
          <c:h val="0.71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39933"/>
                  </a:gs>
                  <a:gs pos="100000">
                    <a:srgbClr val="174617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808000"/>
                  </a:gs>
                  <a:gs pos="100000">
                    <a:srgbClr val="3B3B00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57500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E3E3E3"/>
                  </a:gs>
                  <a:gs pos="100000">
                    <a:srgbClr val="686868"/>
                  </a:gs>
                </a:gsLst>
                <a:lin ang="5400000" scaled="1"/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</c:spPr>
          </c:dPt>
          <c:dPt>
            <c:idx val="6"/>
            <c:spPr>
              <a:solidFill>
                <a:srgbClr val="008080"/>
              </a:solidFill>
            </c:spPr>
          </c:dPt>
          <c:dLbls>
            <c:dLbl>
              <c:idx val="0"/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List8!$A$2:$A$4</c:f>
              <c:strCache>
                <c:ptCount val="3"/>
                <c:pt idx="0">
                  <c:v>OSIVOAGRO STRED</c:v>
                </c:pt>
                <c:pt idx="1">
                  <c:v>OSIVOAGRO N.ZÁMKY</c:v>
                </c:pt>
                <c:pt idx="2">
                  <c:v>ROSARA</c:v>
                </c:pt>
              </c:strCache>
            </c:strRef>
          </c:cat>
          <c:val>
            <c:numRef>
              <c:f>List8!$B$2:$B$4</c:f>
              <c:numCache>
                <c:ptCount val="3"/>
                <c:pt idx="0">
                  <c:v>0.12167221244975823</c:v>
                </c:pt>
                <c:pt idx="1">
                  <c:v>0.8661418434629181</c:v>
                </c:pt>
                <c:pt idx="2">
                  <c:v>0.01218594408732356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19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1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>
        <a:srgbClr val="339933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  <a:latin typeface="Arial CE"/>
                <a:ea typeface="Arial CE"/>
                <a:cs typeface="Arial CE"/>
              </a:rPr>
              <a:t>Štruktúra kapitálových účastí</a:t>
            </a:r>
          </a:p>
        </c:rich>
      </c:tx>
      <c:layout>
        <c:manualLayout>
          <c:xMode val="factor"/>
          <c:yMode val="factor"/>
          <c:x val="-0.2425"/>
          <c:y val="-0.01925"/>
        </c:manualLayout>
      </c:layout>
      <c:spPr>
        <a:noFill/>
        <a:ln>
          <a:noFill/>
        </a:ln>
      </c:spPr>
    </c:title>
    <c:view3D>
      <c:rotX val="40"/>
      <c:hPercent val="100"/>
      <c:rotY val="100"/>
      <c:depthPercent val="200"/>
      <c:rAngAx val="1"/>
    </c:view3D>
    <c:plotArea>
      <c:layout>
        <c:manualLayout>
          <c:xMode val="edge"/>
          <c:yMode val="edge"/>
          <c:x val="0.02775"/>
          <c:y val="0.19875"/>
          <c:w val="0.8965"/>
          <c:h val="0.71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39933"/>
                  </a:gs>
                  <a:gs pos="100000">
                    <a:srgbClr val="174617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808000"/>
                  </a:gs>
                  <a:gs pos="100000">
                    <a:srgbClr val="3B3B00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57500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E3E3E3"/>
                  </a:gs>
                  <a:gs pos="100000">
                    <a:srgbClr val="686868"/>
                  </a:gs>
                </a:gsLst>
                <a:lin ang="5400000" scaled="1"/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</c:spPr>
          </c:dPt>
          <c:dPt>
            <c:idx val="6"/>
            <c:spPr>
              <a:solidFill>
                <a:srgbClr val="00808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List8!$A$2:$A$4</c:f>
              <c:strCache/>
            </c:strRef>
          </c:cat>
          <c:val>
            <c:numRef>
              <c:f>List8!$B$2:$B$4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425"/>
          <c:y val="0.2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1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>
        <a:srgbClr val="339933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  <a:latin typeface="Arial CE"/>
                <a:ea typeface="Arial CE"/>
                <a:cs typeface="Arial CE"/>
              </a:rPr>
              <a:t>Vývoj pridanej hodnoty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7"/>
          <c:y val="0.13525"/>
          <c:w val="0.778"/>
          <c:h val="0.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List9!$A$5</c:f>
              <c:strCache>
                <c:ptCount val="1"/>
                <c:pt idx="0">
                  <c:v>Pridaná hodnota</c:v>
                </c:pt>
              </c:strCache>
            </c:strRef>
          </c:tx>
          <c:spPr>
            <a:gradFill rotWithShape="1">
              <a:gsLst>
                <a:gs pos="0">
                  <a:srgbClr val="339933"/>
                </a:gs>
                <a:gs pos="100000">
                  <a:srgbClr val="174617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solidFill>
                        <a:srgbClr val="008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solidFill>
                        <a:srgbClr val="008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solidFill>
                        <a:srgbClr val="008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solidFill>
                        <a:srgbClr val="008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>
                    <a:solidFill>
                      <a:srgbClr val="008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List9!$B$4:$E$4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List9!$B$5:$E$5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gapDepth val="0"/>
        <c:shape val="box"/>
        <c:axId val="63912559"/>
        <c:axId val="38342120"/>
      </c:bar3DChart>
      <c:catAx>
        <c:axId val="63912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8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900" b="0" i="1" u="none" baseline="0">
                <a:solidFill>
                  <a:srgbClr val="008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342120"/>
        <c:crosses val="autoZero"/>
        <c:auto val="0"/>
        <c:lblOffset val="100"/>
        <c:noMultiLvlLbl val="0"/>
      </c:catAx>
      <c:valAx>
        <c:axId val="38342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8000"/>
                    </a:solidFill>
                    <a:latin typeface="Arial CE"/>
                    <a:ea typeface="Arial CE"/>
                    <a:cs typeface="Arial CE"/>
                  </a:rPr>
                  <a:t>Pridaná hodnota v tis. Sk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1" u="none" baseline="0">
                <a:solidFill>
                  <a:srgbClr val="008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3912559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>
        <a:srgbClr val="339933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  <a:latin typeface="Arial CE"/>
                <a:ea typeface="Arial CE"/>
                <a:cs typeface="Arial CE"/>
              </a:rPr>
              <a:t>Vývoj  pohľadávok  a  záväzkov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55"/>
          <c:y val="0.087"/>
          <c:w val="0.9255"/>
          <c:h val="0.8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List10!$A$3</c:f>
              <c:strCache>
                <c:ptCount val="1"/>
                <c:pt idx="0">
                  <c:v>Pohľadávky</c:v>
                </c:pt>
              </c:strCache>
            </c:strRef>
          </c:tx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List10!$B$2:$E$2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List10!$B$3:$E$3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List10!$A$4</c:f>
              <c:strCache>
                <c:ptCount val="1"/>
                <c:pt idx="0">
                  <c:v>Záväzky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List10!$B$2:$E$2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List10!$B$4:$E$4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gapDepth val="0"/>
        <c:shape val="box"/>
        <c:axId val="9534761"/>
        <c:axId val="18703986"/>
      </c:bar3DChart>
      <c:catAx>
        <c:axId val="9534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339933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defRPr>
            </a:pPr>
          </a:p>
        </c:txPr>
        <c:crossAx val="18703986"/>
        <c:crosses val="autoZero"/>
        <c:auto val="0"/>
        <c:lblOffset val="100"/>
        <c:noMultiLvlLbl val="0"/>
      </c:catAx>
      <c:valAx>
        <c:axId val="18703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rPr>
                  <a:t>
Pohľadávky a záväzky</a:t>
                </a:r>
              </a:p>
            </c:rich>
          </c:tx>
          <c:layout>
            <c:manualLayout>
              <c:xMode val="factor"/>
              <c:yMode val="factor"/>
              <c:x val="-0.02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9933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defRPr>
            </a:pPr>
          </a:p>
        </c:txPr>
        <c:crossAx val="9534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"/>
          <c:y val="0.8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1" u="none" baseline="0">
              <a:latin typeface="Arial CE"/>
              <a:ea typeface="Arial CE"/>
              <a:cs typeface="Arial CE"/>
            </a:defRPr>
          </a:pPr>
        </a:p>
      </c:txPr>
    </c:legend>
    <c:floor>
      <c:spPr>
        <a:gradFill rotWithShape="1">
          <a:gsLst>
            <a:gs pos="0">
              <a:srgbClr val="FFFFC0"/>
            </a:gs>
            <a:gs pos="100000">
              <a:srgbClr val="757558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FFC0"/>
            </a:gs>
            <a:gs pos="100000">
              <a:srgbClr val="75755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0"/>
            </a:gs>
            <a:gs pos="100000">
              <a:srgbClr val="75755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12700">
      <a:solidFill>
        <a:srgbClr val="339933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rPr>
              <a:t>Predaj obilnín a sladu
 ( v tonách 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3"/>
          <c:y val="0.13725"/>
          <c:w val="0.802"/>
          <c:h val="0.79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List11!$A$3</c:f>
              <c:strCache>
                <c:ptCount val="1"/>
                <c:pt idx="0">
                  <c:v>Obilniny</c:v>
                </c:pt>
              </c:strCache>
            </c:strRef>
          </c:tx>
          <c:spPr>
            <a:solidFill>
              <a:srgbClr val="33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List11!$B$2:$D$2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List11!$B$3:$D$3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List11!$A$4</c:f>
              <c:strCache>
                <c:ptCount val="1"/>
                <c:pt idx="0">
                  <c:v>Slad</c:v>
                </c:pt>
              </c:strCache>
            </c:strRef>
          </c:tx>
          <c:spPr>
            <a:solidFill>
              <a:srgbClr val="99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List11!$B$2:$D$2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List11!$B$4:$D$4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box"/>
        <c:axId val="34118147"/>
        <c:axId val="38627868"/>
      </c:bar3DChart>
      <c:catAx>
        <c:axId val="34118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339933"/>
            </a:solidFill>
          </a:ln>
        </c:spPr>
        <c:txPr>
          <a:bodyPr/>
          <a:lstStyle/>
          <a:p>
            <a:pPr>
              <a:defRPr lang="en-US" cap="none" sz="900" b="1" i="1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defRPr>
            </a:pPr>
          </a:p>
        </c:txPr>
        <c:crossAx val="38627868"/>
        <c:crosses val="autoZero"/>
        <c:auto val="0"/>
        <c:lblOffset val="100"/>
        <c:noMultiLvlLbl val="0"/>
      </c:catAx>
      <c:valAx>
        <c:axId val="38627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rPr>
                  <a:t>Tony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339933"/>
            </a:solidFill>
          </a:ln>
        </c:spPr>
        <c:txPr>
          <a:bodyPr/>
          <a:lstStyle/>
          <a:p>
            <a:pPr>
              <a:defRPr lang="en-US" cap="none" sz="900" b="1" i="1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defRPr>
            </a:pPr>
          </a:p>
        </c:txPr>
        <c:crossAx val="341181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8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 CE"/>
              <a:ea typeface="Arial CE"/>
              <a:cs typeface="Arial CE"/>
            </a:defRPr>
          </a:pPr>
        </a:p>
      </c:txPr>
    </c:legend>
    <c:floor>
      <c:spPr>
        <a:gradFill rotWithShape="1">
          <a:gsLst>
            <a:gs pos="0">
              <a:srgbClr val="FFFFC0"/>
            </a:gs>
            <a:gs pos="100000">
              <a:srgbClr val="757558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FFC0"/>
            </a:gs>
            <a:gs pos="100000">
              <a:srgbClr val="75755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0"/>
            </a:gs>
            <a:gs pos="100000">
              <a:srgbClr val="75755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solidFill>
        <a:srgbClr val="008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43</xdr:row>
      <xdr:rowOff>19050</xdr:rowOff>
    </xdr:from>
    <xdr:to>
      <xdr:col>10</xdr:col>
      <xdr:colOff>342900</xdr:colOff>
      <xdr:row>69</xdr:row>
      <xdr:rowOff>0</xdr:rowOff>
    </xdr:to>
    <xdr:graphicFrame>
      <xdr:nvGraphicFramePr>
        <xdr:cNvPr id="1" name="Chart 7"/>
        <xdr:cNvGraphicFramePr/>
      </xdr:nvGraphicFramePr>
      <xdr:xfrm>
        <a:off x="1200150" y="8105775"/>
        <a:ext cx="70389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36</xdr:row>
      <xdr:rowOff>9525</xdr:rowOff>
    </xdr:from>
    <xdr:to>
      <xdr:col>6</xdr:col>
      <xdr:colOff>685800</xdr:colOff>
      <xdr:row>59</xdr:row>
      <xdr:rowOff>104775</xdr:rowOff>
    </xdr:to>
    <xdr:graphicFrame>
      <xdr:nvGraphicFramePr>
        <xdr:cNvPr id="1" name="Chart 3"/>
        <xdr:cNvGraphicFramePr/>
      </xdr:nvGraphicFramePr>
      <xdr:xfrm>
        <a:off x="619125" y="6229350"/>
        <a:ext cx="72104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279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32</xdr:row>
      <xdr:rowOff>0</xdr:rowOff>
    </xdr:from>
    <xdr:to>
      <xdr:col>6</xdr:col>
      <xdr:colOff>19050</xdr:colOff>
      <xdr:row>55</xdr:row>
      <xdr:rowOff>171450</xdr:rowOff>
    </xdr:to>
    <xdr:graphicFrame>
      <xdr:nvGraphicFramePr>
        <xdr:cNvPr id="1" name="Chart 3"/>
        <xdr:cNvGraphicFramePr/>
      </xdr:nvGraphicFramePr>
      <xdr:xfrm>
        <a:off x="266700" y="5572125"/>
        <a:ext cx="74390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281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281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281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281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29</xdr:row>
      <xdr:rowOff>19050</xdr:rowOff>
    </xdr:from>
    <xdr:to>
      <xdr:col>7</xdr:col>
      <xdr:colOff>295275</xdr:colOff>
      <xdr:row>51</xdr:row>
      <xdr:rowOff>0</xdr:rowOff>
    </xdr:to>
    <xdr:graphicFrame>
      <xdr:nvGraphicFramePr>
        <xdr:cNvPr id="1" name="Chart 7"/>
        <xdr:cNvGraphicFramePr/>
      </xdr:nvGraphicFramePr>
      <xdr:xfrm>
        <a:off x="457200" y="5676900"/>
        <a:ext cx="90392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8</xdr:col>
      <xdr:colOff>95250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0" y="752475"/>
        <a:ext cx="7620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142875</xdr:rowOff>
    </xdr:from>
    <xdr:to>
      <xdr:col>8</xdr:col>
      <xdr:colOff>619125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0" y="952500"/>
        <a:ext cx="65151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12</xdr:row>
      <xdr:rowOff>19050</xdr:rowOff>
    </xdr:from>
    <xdr:to>
      <xdr:col>10</xdr:col>
      <xdr:colOff>409575</xdr:colOff>
      <xdr:row>35</xdr:row>
      <xdr:rowOff>104775</xdr:rowOff>
    </xdr:to>
    <xdr:graphicFrame>
      <xdr:nvGraphicFramePr>
        <xdr:cNvPr id="1" name="Chart 6"/>
        <xdr:cNvGraphicFramePr/>
      </xdr:nvGraphicFramePr>
      <xdr:xfrm>
        <a:off x="657225" y="1962150"/>
        <a:ext cx="70770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76200</xdr:rowOff>
    </xdr:from>
    <xdr:to>
      <xdr:col>8</xdr:col>
      <xdr:colOff>676275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19050" y="723900"/>
        <a:ext cx="61436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 topLeftCell="A49">
      <selection activeCell="C13" sqref="C13"/>
    </sheetView>
  </sheetViews>
  <sheetFormatPr defaultColWidth="9.00390625" defaultRowHeight="12.75"/>
  <cols>
    <col min="4" max="4" width="13.875" style="0" customWidth="1"/>
    <col min="6" max="6" width="13.625" style="0" customWidth="1"/>
    <col min="8" max="8" width="13.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>
      <c r="A2" s="27" t="s">
        <v>122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>
      <c r="A4" s="4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6" t="s">
        <v>119</v>
      </c>
      <c r="B6" s="5"/>
      <c r="C6" s="5"/>
      <c r="D6" s="5"/>
      <c r="E6" s="5"/>
      <c r="F6" s="7"/>
      <c r="G6" s="7"/>
      <c r="H6" s="7"/>
      <c r="I6" s="5"/>
      <c r="J6" s="5"/>
      <c r="K6" s="5"/>
    </row>
    <row r="7" spans="1:11" ht="12.75">
      <c r="A7" s="6"/>
      <c r="B7" s="5"/>
      <c r="C7" s="5"/>
      <c r="D7" s="5"/>
      <c r="E7" s="5"/>
      <c r="F7" s="7"/>
      <c r="G7" s="7"/>
      <c r="H7" s="7"/>
      <c r="I7" s="5"/>
      <c r="J7" s="5"/>
      <c r="K7" s="5"/>
    </row>
    <row r="8" spans="1:11" ht="15.75">
      <c r="A8" s="8" t="s">
        <v>1</v>
      </c>
      <c r="B8" s="8"/>
      <c r="C8" s="8">
        <v>2009</v>
      </c>
      <c r="D8" s="9"/>
      <c r="E8" s="8">
        <v>2010</v>
      </c>
      <c r="F8" s="9"/>
      <c r="G8" s="8">
        <v>2011</v>
      </c>
      <c r="H8" s="9"/>
      <c r="I8" s="8" t="s">
        <v>2</v>
      </c>
      <c r="J8" s="8"/>
      <c r="K8" s="8"/>
    </row>
    <row r="9" spans="1:11" ht="15.75">
      <c r="A9" s="10"/>
      <c r="B9" s="10"/>
      <c r="C9" s="11" t="s">
        <v>3</v>
      </c>
      <c r="D9" s="12" t="s">
        <v>102</v>
      </c>
      <c r="E9" s="11" t="s">
        <v>3</v>
      </c>
      <c r="F9" s="12" t="s">
        <v>102</v>
      </c>
      <c r="G9" s="11" t="s">
        <v>3</v>
      </c>
      <c r="H9" s="12" t="s">
        <v>102</v>
      </c>
      <c r="I9" s="90" t="s">
        <v>120</v>
      </c>
      <c r="J9" s="90" t="s">
        <v>121</v>
      </c>
      <c r="K9" s="90" t="s">
        <v>117</v>
      </c>
    </row>
    <row r="10" spans="1:11" ht="12.75">
      <c r="A10" s="13"/>
      <c r="B10" s="13"/>
      <c r="C10" s="13"/>
      <c r="D10" s="13"/>
      <c r="E10" s="13"/>
      <c r="F10" s="13"/>
      <c r="G10" s="13"/>
      <c r="H10" s="13"/>
      <c r="I10" s="15"/>
      <c r="J10" s="15"/>
      <c r="K10" s="15"/>
    </row>
    <row r="11" spans="1:11" ht="14.25">
      <c r="A11" s="16" t="s">
        <v>4</v>
      </c>
      <c r="B11" s="17"/>
      <c r="C11" s="18">
        <f aca="true" t="shared" si="0" ref="C11:H11">SUM(C12:C13)</f>
        <v>8391.18</v>
      </c>
      <c r="D11" s="18">
        <f t="shared" si="0"/>
        <v>3695487.84</v>
      </c>
      <c r="E11" s="18">
        <f t="shared" si="0"/>
        <v>9969.54</v>
      </c>
      <c r="F11" s="18">
        <f t="shared" si="0"/>
        <v>5314968.07</v>
      </c>
      <c r="G11" s="18">
        <f t="shared" si="0"/>
        <v>10929.679999999998</v>
      </c>
      <c r="H11" s="18">
        <f t="shared" si="0"/>
        <v>5661648.73</v>
      </c>
      <c r="I11" s="19">
        <f>SUM(G11/E11*100)</f>
        <v>109.63073521947851</v>
      </c>
      <c r="J11" s="19">
        <f>SUM(G11/C11*100)</f>
        <v>130.25200269807104</v>
      </c>
      <c r="K11" s="19">
        <f>SUM(E11/C11*100)</f>
        <v>118.80975023774964</v>
      </c>
    </row>
    <row r="12" spans="1:11" ht="14.25">
      <c r="A12" s="13" t="s">
        <v>5</v>
      </c>
      <c r="B12" s="13"/>
      <c r="C12" s="14">
        <v>3111.18</v>
      </c>
      <c r="D12" s="14">
        <v>1480659.84</v>
      </c>
      <c r="E12" s="14">
        <f>597+1130.37+670+1401.45</f>
        <v>3798.8199999999997</v>
      </c>
      <c r="F12" s="14">
        <f>208853.64+607106.56+236452.23+840600</f>
        <v>1893012.4300000002</v>
      </c>
      <c r="G12" s="14">
        <f>409.34+890.94+1300.58+70.66+651.45</f>
        <v>3322.9699999999993</v>
      </c>
      <c r="H12" s="14">
        <f>215422.25+650393.6+644832.54+33680.41+261852.52</f>
        <v>1806181.32</v>
      </c>
      <c r="I12" s="20">
        <f aca="true" t="shared" si="1" ref="I12:I24">SUM(G12/E12*100)</f>
        <v>87.47374184615222</v>
      </c>
      <c r="J12" s="20">
        <f aca="true" t="shared" si="2" ref="J12:J25">SUM(G12/C12*100)</f>
        <v>106.80738497933258</v>
      </c>
      <c r="K12" s="20">
        <f aca="true" t="shared" si="3" ref="K12:K24">SUM(E12/C12*100)</f>
        <v>122.10222487930625</v>
      </c>
    </row>
    <row r="13" spans="1:11" ht="14.25">
      <c r="A13" s="13" t="s">
        <v>6</v>
      </c>
      <c r="B13" s="13"/>
      <c r="C13" s="14">
        <v>5280</v>
      </c>
      <c r="D13" s="14">
        <v>2214828</v>
      </c>
      <c r="E13" s="14">
        <f>3949.59+278.5+641.43+250.96+674.95+375.29</f>
        <v>6170.72</v>
      </c>
      <c r="F13" s="14">
        <f>1685249.13+773075.51+249980.49+265805.12+267219.51+180625.88</f>
        <v>3421955.6399999997</v>
      </c>
      <c r="G13" s="14">
        <f>4858.73+685.39+488.7+942.33+631.56</f>
        <v>7606.709999999999</v>
      </c>
      <c r="H13" s="14">
        <f>2198329.8+330161.34+558540.45+413010.49+355425.33</f>
        <v>3855467.41</v>
      </c>
      <c r="I13" s="20">
        <f t="shared" si="1"/>
        <v>123.27102834029091</v>
      </c>
      <c r="J13" s="20">
        <f t="shared" si="2"/>
        <v>144.06647727272727</v>
      </c>
      <c r="K13" s="20">
        <f t="shared" si="3"/>
        <v>116.86969696969697</v>
      </c>
    </row>
    <row r="14" spans="1:11" ht="14.25">
      <c r="A14" s="13"/>
      <c r="B14" s="13"/>
      <c r="C14" s="14"/>
      <c r="D14" s="14"/>
      <c r="E14" s="14"/>
      <c r="F14" s="14"/>
      <c r="G14" s="14"/>
      <c r="H14" s="14"/>
      <c r="I14" s="20"/>
      <c r="J14" s="20"/>
      <c r="K14" s="20"/>
    </row>
    <row r="15" spans="1:11" ht="14.25">
      <c r="A15" s="13"/>
      <c r="B15" s="13"/>
      <c r="C15" s="13"/>
      <c r="D15" s="13"/>
      <c r="E15" s="13"/>
      <c r="F15" s="13"/>
      <c r="G15" s="13"/>
      <c r="H15" s="13"/>
      <c r="I15" s="20"/>
      <c r="J15" s="20"/>
      <c r="K15" s="20"/>
    </row>
    <row r="16" spans="1:11" ht="14.25">
      <c r="A16" s="16" t="s">
        <v>7</v>
      </c>
      <c r="B16" s="17"/>
      <c r="C16" s="18">
        <f aca="true" t="shared" si="4" ref="C16:H16">SUM(C17:C17)</f>
        <v>3216</v>
      </c>
      <c r="D16" s="18">
        <f t="shared" si="4"/>
        <v>255604</v>
      </c>
      <c r="E16" s="18">
        <f t="shared" si="4"/>
        <v>3309</v>
      </c>
      <c r="F16" s="18">
        <f t="shared" si="4"/>
        <v>264720</v>
      </c>
      <c r="G16" s="18">
        <f t="shared" si="4"/>
        <v>4158</v>
      </c>
      <c r="H16" s="18">
        <f t="shared" si="4"/>
        <v>289073.01</v>
      </c>
      <c r="I16" s="19">
        <f>SUM(G16/E16*100)</f>
        <v>125.6572982774252</v>
      </c>
      <c r="J16" s="19">
        <f>SUM(G16/C16*100)</f>
        <v>129.2910447761194</v>
      </c>
      <c r="K16" s="19">
        <f>SUM(E16/C16*100)</f>
        <v>102.89179104477613</v>
      </c>
    </row>
    <row r="17" spans="1:11" ht="14.25">
      <c r="A17" s="29" t="s">
        <v>8</v>
      </c>
      <c r="B17" s="13"/>
      <c r="C17" s="14">
        <v>3216</v>
      </c>
      <c r="D17" s="14">
        <v>255604</v>
      </c>
      <c r="E17" s="14">
        <v>3309</v>
      </c>
      <c r="F17" s="14">
        <v>264720</v>
      </c>
      <c r="G17" s="14">
        <v>4158</v>
      </c>
      <c r="H17" s="14">
        <v>289073.01</v>
      </c>
      <c r="I17" s="20">
        <f t="shared" si="1"/>
        <v>125.6572982774252</v>
      </c>
      <c r="J17" s="20">
        <f t="shared" si="2"/>
        <v>129.2910447761194</v>
      </c>
      <c r="K17" s="20">
        <f t="shared" si="3"/>
        <v>102.89179104477613</v>
      </c>
    </row>
    <row r="18" spans="1:11" ht="14.25">
      <c r="A18" s="13"/>
      <c r="B18" s="13"/>
      <c r="C18" s="13"/>
      <c r="D18" s="13"/>
      <c r="E18" s="13"/>
      <c r="F18" s="13"/>
      <c r="G18" s="13"/>
      <c r="H18" s="13"/>
      <c r="I18" s="20"/>
      <c r="J18" s="20"/>
      <c r="K18" s="20"/>
    </row>
    <row r="19" spans="1:11" ht="14.25">
      <c r="A19" s="16" t="s">
        <v>9</v>
      </c>
      <c r="B19" s="17"/>
      <c r="C19" s="18">
        <f aca="true" t="shared" si="5" ref="C19:H19">SUM(C20:C22)</f>
        <v>1133</v>
      </c>
      <c r="D19" s="18">
        <f t="shared" si="5"/>
        <v>717724.74</v>
      </c>
      <c r="E19" s="18">
        <f t="shared" si="5"/>
        <v>1051.08</v>
      </c>
      <c r="F19" s="18">
        <f t="shared" si="5"/>
        <v>621203.94</v>
      </c>
      <c r="G19" s="18">
        <f t="shared" si="5"/>
        <v>969.15</v>
      </c>
      <c r="H19" s="18">
        <f t="shared" si="5"/>
        <v>434623.25</v>
      </c>
      <c r="I19" s="19">
        <f t="shared" si="1"/>
        <v>92.20516040643909</v>
      </c>
      <c r="J19" s="19">
        <f t="shared" si="2"/>
        <v>85.53839364518976</v>
      </c>
      <c r="K19" s="19">
        <f t="shared" si="3"/>
        <v>92.76963812886142</v>
      </c>
    </row>
    <row r="20" spans="1:11" ht="14.25">
      <c r="A20" s="13" t="s">
        <v>10</v>
      </c>
      <c r="B20" s="13"/>
      <c r="C20" s="14">
        <v>944</v>
      </c>
      <c r="D20" s="14">
        <v>577144.26</v>
      </c>
      <c r="E20" s="14">
        <v>921.65</v>
      </c>
      <c r="F20" s="14">
        <v>499351.72</v>
      </c>
      <c r="G20" s="14">
        <v>368.58</v>
      </c>
      <c r="H20" s="14">
        <v>216747.41</v>
      </c>
      <c r="I20" s="20">
        <f t="shared" si="1"/>
        <v>39.991319915369175</v>
      </c>
      <c r="J20" s="20">
        <f t="shared" si="2"/>
        <v>39.04449152542372</v>
      </c>
      <c r="K20" s="20">
        <f t="shared" si="3"/>
        <v>97.63241525423729</v>
      </c>
    </row>
    <row r="21" spans="1:11" ht="14.25">
      <c r="A21" s="13" t="s">
        <v>11</v>
      </c>
      <c r="B21" s="13"/>
      <c r="C21" s="14">
        <v>31</v>
      </c>
      <c r="D21" s="14">
        <v>22129</v>
      </c>
      <c r="E21" s="14">
        <v>29.09</v>
      </c>
      <c r="F21" s="14">
        <v>27716</v>
      </c>
      <c r="G21" s="14">
        <v>89.22</v>
      </c>
      <c r="H21" s="14">
        <v>35537.31</v>
      </c>
      <c r="I21" s="20">
        <f t="shared" si="1"/>
        <v>306.70333447920245</v>
      </c>
      <c r="J21" s="20">
        <f t="shared" si="2"/>
        <v>287.80645161290323</v>
      </c>
      <c r="K21" s="20">
        <f t="shared" si="3"/>
        <v>93.83870967741935</v>
      </c>
    </row>
    <row r="22" spans="1:11" ht="14.25">
      <c r="A22" s="13" t="s">
        <v>12</v>
      </c>
      <c r="B22" s="13"/>
      <c r="C22" s="14">
        <v>158</v>
      </c>
      <c r="D22" s="14">
        <v>118451.48</v>
      </c>
      <c r="E22" s="14">
        <f>39+32.25+29.09</f>
        <v>100.34</v>
      </c>
      <c r="F22" s="14">
        <f>44202.65+17560.18+32373.39</f>
        <v>94136.22</v>
      </c>
      <c r="G22" s="14">
        <v>511.35</v>
      </c>
      <c r="H22" s="14">
        <v>182338.53</v>
      </c>
      <c r="I22" s="20">
        <f t="shared" si="1"/>
        <v>509.61730117600166</v>
      </c>
      <c r="J22" s="20">
        <f t="shared" si="2"/>
        <v>323.63924050632914</v>
      </c>
      <c r="K22" s="20">
        <f t="shared" si="3"/>
        <v>63.50632911392405</v>
      </c>
    </row>
    <row r="23" spans="1:11" ht="14.25">
      <c r="A23" s="13"/>
      <c r="B23" s="13"/>
      <c r="C23" s="13"/>
      <c r="D23" s="13"/>
      <c r="E23" s="13"/>
      <c r="F23" s="13"/>
      <c r="G23" s="13"/>
      <c r="H23" s="13"/>
      <c r="I23" s="20"/>
      <c r="J23" s="20"/>
      <c r="K23" s="20"/>
    </row>
    <row r="24" spans="1:11" ht="14.25">
      <c r="A24" s="16" t="s">
        <v>13</v>
      </c>
      <c r="B24" s="17"/>
      <c r="C24" s="18">
        <f aca="true" t="shared" si="6" ref="C24:H24">SUM(C25:C26)</f>
        <v>2683</v>
      </c>
      <c r="D24" s="18">
        <f t="shared" si="6"/>
        <v>499192.72</v>
      </c>
      <c r="E24" s="18">
        <f t="shared" si="6"/>
        <v>335.4</v>
      </c>
      <c r="F24" s="18">
        <f t="shared" si="6"/>
        <v>726922.99</v>
      </c>
      <c r="G24" s="18">
        <f t="shared" si="6"/>
        <v>1138.58</v>
      </c>
      <c r="H24" s="18">
        <f t="shared" si="6"/>
        <v>458836.86</v>
      </c>
      <c r="I24" s="19">
        <f t="shared" si="1"/>
        <v>339.46929039952295</v>
      </c>
      <c r="J24" s="19">
        <f t="shared" si="2"/>
        <v>42.43682445024226</v>
      </c>
      <c r="K24" s="19">
        <f t="shared" si="3"/>
        <v>12.500931792769288</v>
      </c>
    </row>
    <row r="25" spans="1:11" ht="14.25">
      <c r="A25" s="13" t="s">
        <v>131</v>
      </c>
      <c r="B25" s="13"/>
      <c r="C25" s="14">
        <v>2500</v>
      </c>
      <c r="D25" s="14">
        <v>186898.83</v>
      </c>
      <c r="E25" s="14"/>
      <c r="F25" s="14"/>
      <c r="G25" s="14">
        <v>803</v>
      </c>
      <c r="H25" s="14">
        <v>49866.98</v>
      </c>
      <c r="I25" s="20"/>
      <c r="J25" s="20">
        <f t="shared" si="2"/>
        <v>32.12</v>
      </c>
      <c r="K25" s="20"/>
    </row>
    <row r="26" spans="1:11" ht="14.25">
      <c r="A26" s="13" t="s">
        <v>14</v>
      </c>
      <c r="B26" s="13"/>
      <c r="C26" s="14">
        <v>183</v>
      </c>
      <c r="D26" s="14">
        <v>312293.89</v>
      </c>
      <c r="E26" s="14">
        <f>69.42+98.63+167.35</f>
        <v>335.4</v>
      </c>
      <c r="F26" s="14">
        <f>355642.3+150817.39+220463.3</f>
        <v>726922.99</v>
      </c>
      <c r="G26" s="14">
        <f>1948.58-803-810</f>
        <v>335.5799999999999</v>
      </c>
      <c r="H26" s="14">
        <f>536104.88-49867-77268</f>
        <v>408969.88</v>
      </c>
      <c r="I26" s="20">
        <f>SUM(G26/E26*100)</f>
        <v>100.05366726296958</v>
      </c>
      <c r="J26" s="20">
        <f>SUM(G26/C26*100)</f>
        <v>183.37704918032782</v>
      </c>
      <c r="K26" s="20">
        <f>SUM(E26/C26*100)</f>
        <v>183.27868852459014</v>
      </c>
    </row>
    <row r="27" spans="1:11" ht="14.25">
      <c r="A27" s="13" t="s">
        <v>15</v>
      </c>
      <c r="B27" s="13"/>
      <c r="C27" s="14">
        <v>1026</v>
      </c>
      <c r="D27" s="14">
        <v>80223.22</v>
      </c>
      <c r="E27" s="14">
        <v>548</v>
      </c>
      <c r="F27" s="14">
        <v>103882</v>
      </c>
      <c r="G27" s="14">
        <v>810</v>
      </c>
      <c r="H27" s="14">
        <v>77268</v>
      </c>
      <c r="I27" s="20">
        <f>SUM(G27/E27*100)</f>
        <v>147.81021897810217</v>
      </c>
      <c r="J27" s="20">
        <f>SUM(G27/C27*100)</f>
        <v>78.94736842105263</v>
      </c>
      <c r="K27" s="20">
        <f>SUM(E27/C27*100)</f>
        <v>53.41130604288499</v>
      </c>
    </row>
    <row r="28" spans="1:11" ht="14.25">
      <c r="A28" s="13"/>
      <c r="B28" s="13"/>
      <c r="C28" s="13"/>
      <c r="D28" s="13"/>
      <c r="E28" s="13"/>
      <c r="F28" s="13"/>
      <c r="G28" s="13"/>
      <c r="H28" s="13"/>
      <c r="I28" s="20"/>
      <c r="J28" s="20"/>
      <c r="K28" s="20"/>
    </row>
    <row r="29" spans="1:11" ht="14.25">
      <c r="A29" s="16" t="s">
        <v>16</v>
      </c>
      <c r="B29" s="17"/>
      <c r="C29" s="18">
        <f aca="true" t="shared" si="7" ref="C29:H29">SUM(C30:C31)</f>
        <v>606.84</v>
      </c>
      <c r="D29" s="18">
        <f t="shared" si="7"/>
        <v>254260</v>
      </c>
      <c r="E29" s="18">
        <f t="shared" si="7"/>
        <v>387.92</v>
      </c>
      <c r="F29" s="18">
        <f t="shared" si="7"/>
        <v>267085.27</v>
      </c>
      <c r="G29" s="18">
        <f t="shared" si="7"/>
        <v>526.06</v>
      </c>
      <c r="H29" s="18">
        <f t="shared" si="7"/>
        <v>395072.25</v>
      </c>
      <c r="I29" s="19">
        <f aca="true" t="shared" si="8" ref="I29:I35">SUM(G29/E29*100)</f>
        <v>135.61043514126624</v>
      </c>
      <c r="J29" s="19">
        <f aca="true" t="shared" si="9" ref="J29:J35">SUM(G29/C29*100)</f>
        <v>86.68841869356007</v>
      </c>
      <c r="K29" s="19">
        <f aca="true" t="shared" si="10" ref="K29:K35">SUM(E29/C29*100)</f>
        <v>63.924592973436155</v>
      </c>
    </row>
    <row r="30" spans="1:11" ht="14.25">
      <c r="A30" s="13" t="s">
        <v>17</v>
      </c>
      <c r="B30" s="13"/>
      <c r="C30" s="14">
        <v>606.84</v>
      </c>
      <c r="D30" s="14">
        <v>254260</v>
      </c>
      <c r="E30" s="14">
        <v>387.92</v>
      </c>
      <c r="F30" s="14">
        <v>267085.27</v>
      </c>
      <c r="G30" s="14">
        <v>526.06</v>
      </c>
      <c r="H30" s="14">
        <f>94333.43+165854.63+134734.09+150.1</f>
        <v>395072.25</v>
      </c>
      <c r="I30" s="20">
        <f t="shared" si="8"/>
        <v>135.61043514126624</v>
      </c>
      <c r="J30" s="20">
        <f t="shared" si="9"/>
        <v>86.68841869356007</v>
      </c>
      <c r="K30" s="20">
        <f t="shared" si="10"/>
        <v>63.924592973436155</v>
      </c>
    </row>
    <row r="31" spans="1:11" ht="14.25">
      <c r="A31" s="13" t="s">
        <v>18</v>
      </c>
      <c r="B31" s="13"/>
      <c r="C31" s="14"/>
      <c r="D31" s="14"/>
      <c r="E31" s="14"/>
      <c r="F31" s="14"/>
      <c r="G31" s="14"/>
      <c r="H31" s="14"/>
      <c r="I31" s="20"/>
      <c r="J31" s="20"/>
      <c r="K31" s="20"/>
    </row>
    <row r="32" spans="1:11" ht="14.25">
      <c r="A32" s="13"/>
      <c r="B32" s="13"/>
      <c r="C32" s="13"/>
      <c r="D32" s="13"/>
      <c r="E32" s="13"/>
      <c r="F32" s="13"/>
      <c r="G32" s="13"/>
      <c r="H32" s="13"/>
      <c r="I32" s="20"/>
      <c r="J32" s="20"/>
      <c r="K32" s="20"/>
    </row>
    <row r="33" spans="1:11" ht="14.25">
      <c r="A33" s="21" t="s">
        <v>19</v>
      </c>
      <c r="B33" s="22"/>
      <c r="C33" s="23">
        <f aca="true" t="shared" si="11" ref="C33:H33">SUM(C34:C35)</f>
        <v>144</v>
      </c>
      <c r="D33" s="23">
        <f t="shared" si="11"/>
        <v>515203.76</v>
      </c>
      <c r="E33" s="23">
        <f t="shared" si="11"/>
        <v>179</v>
      </c>
      <c r="F33" s="23">
        <f t="shared" si="11"/>
        <v>426747</v>
      </c>
      <c r="G33" s="23">
        <f t="shared" si="11"/>
        <v>174.44</v>
      </c>
      <c r="H33" s="23">
        <f t="shared" si="11"/>
        <v>531025.38</v>
      </c>
      <c r="I33" s="19">
        <f t="shared" si="8"/>
        <v>97.45251396648045</v>
      </c>
      <c r="J33" s="19">
        <f t="shared" si="9"/>
        <v>121.13888888888889</v>
      </c>
      <c r="K33" s="19">
        <f t="shared" si="10"/>
        <v>124.30555555555556</v>
      </c>
    </row>
    <row r="34" spans="1:11" ht="14.25">
      <c r="A34" s="13" t="s">
        <v>20</v>
      </c>
      <c r="B34" s="13"/>
      <c r="C34" s="14">
        <v>47</v>
      </c>
      <c r="D34" s="14">
        <v>202747.81</v>
      </c>
      <c r="E34" s="14">
        <v>65.3</v>
      </c>
      <c r="F34" s="14">
        <f>33273+7048+127592</f>
        <v>167913</v>
      </c>
      <c r="G34" s="14">
        <v>118.9</v>
      </c>
      <c r="H34" s="14">
        <v>453072.38</v>
      </c>
      <c r="I34" s="20">
        <f t="shared" si="8"/>
        <v>182.08269525267994</v>
      </c>
      <c r="J34" s="20">
        <f t="shared" si="9"/>
        <v>252.9787234042553</v>
      </c>
      <c r="K34" s="20">
        <f t="shared" si="10"/>
        <v>138.93617021276594</v>
      </c>
    </row>
    <row r="35" spans="1:11" ht="14.25">
      <c r="A35" s="13" t="s">
        <v>116</v>
      </c>
      <c r="B35" s="13"/>
      <c r="C35" s="14">
        <v>97</v>
      </c>
      <c r="D35" s="14">
        <v>312455.95</v>
      </c>
      <c r="E35" s="14">
        <v>113.7</v>
      </c>
      <c r="F35" s="14">
        <f>247896+10938</f>
        <v>258834</v>
      </c>
      <c r="G35" s="14">
        <v>55.54</v>
      </c>
      <c r="H35" s="14">
        <v>77953</v>
      </c>
      <c r="I35" s="20">
        <f t="shared" si="8"/>
        <v>48.847845206684255</v>
      </c>
      <c r="J35" s="20">
        <f t="shared" si="9"/>
        <v>57.25773195876288</v>
      </c>
      <c r="K35" s="20">
        <f t="shared" si="10"/>
        <v>117.21649484536083</v>
      </c>
    </row>
    <row r="36" spans="1:11" ht="14.25">
      <c r="A36" s="13"/>
      <c r="B36" s="13"/>
      <c r="C36" s="14"/>
      <c r="D36" s="14"/>
      <c r="E36" s="14"/>
      <c r="F36" s="14"/>
      <c r="G36" s="14"/>
      <c r="H36" s="14"/>
      <c r="I36" s="20"/>
      <c r="J36" s="20"/>
      <c r="K36" s="20"/>
    </row>
    <row r="37" spans="1:11" ht="14.25">
      <c r="A37" s="16" t="s">
        <v>132</v>
      </c>
      <c r="B37" s="17"/>
      <c r="C37" s="18">
        <v>4735.68</v>
      </c>
      <c r="D37" s="18">
        <v>1477077</v>
      </c>
      <c r="E37" s="18">
        <v>7002.91</v>
      </c>
      <c r="F37" s="18">
        <v>1951122</v>
      </c>
      <c r="G37" s="18">
        <v>8474.11</v>
      </c>
      <c r="H37" s="18">
        <v>3259194</v>
      </c>
      <c r="I37" s="19">
        <f>SUM(G37/E37*100)</f>
        <v>121.00840936125125</v>
      </c>
      <c r="J37" s="19">
        <f>SUM(G37/C37*100)</f>
        <v>178.94177816068654</v>
      </c>
      <c r="K37" s="19">
        <f>SUM(E37/C37*100)</f>
        <v>147.87548989796605</v>
      </c>
    </row>
    <row r="38" spans="1:11" ht="14.25">
      <c r="A38" s="13"/>
      <c r="B38" s="13"/>
      <c r="C38" s="14"/>
      <c r="D38" s="14"/>
      <c r="E38" s="14"/>
      <c r="F38" s="14"/>
      <c r="G38" s="14"/>
      <c r="H38" s="14"/>
      <c r="I38" s="20"/>
      <c r="J38" s="20"/>
      <c r="K38" s="20"/>
    </row>
    <row r="39" spans="1:11" ht="14.25">
      <c r="A39" s="13"/>
      <c r="B39" s="13"/>
      <c r="C39" s="14"/>
      <c r="D39" s="14"/>
      <c r="E39" s="14"/>
      <c r="F39" s="14"/>
      <c r="G39" s="14"/>
      <c r="H39" s="14"/>
      <c r="I39" s="20"/>
      <c r="J39" s="20"/>
      <c r="K39" s="20"/>
    </row>
    <row r="40" spans="1:11" ht="12.75">
      <c r="A40" s="13"/>
      <c r="B40" s="13"/>
      <c r="C40" s="13"/>
      <c r="D40" s="13"/>
      <c r="E40" s="13"/>
      <c r="F40" s="13"/>
      <c r="G40" s="13"/>
      <c r="H40" s="13"/>
      <c r="I40" s="28"/>
      <c r="J40" s="28"/>
      <c r="K40" s="28"/>
    </row>
    <row r="41" spans="1:11" ht="15.75">
      <c r="A41" s="25" t="s">
        <v>21</v>
      </c>
      <c r="B41" s="25"/>
      <c r="C41" s="25"/>
      <c r="D41" s="25">
        <v>2009</v>
      </c>
      <c r="E41" s="25"/>
      <c r="F41" s="25">
        <v>2010</v>
      </c>
      <c r="G41" s="25"/>
      <c r="H41" s="25">
        <v>2011</v>
      </c>
      <c r="I41" s="26"/>
      <c r="J41" s="26"/>
      <c r="K41" s="26"/>
    </row>
    <row r="42" spans="1:11" ht="15.75">
      <c r="A42" s="10" t="s">
        <v>108</v>
      </c>
      <c r="B42" s="10"/>
      <c r="C42" s="30"/>
      <c r="D42" s="30">
        <f>SUM(D11+D16+D19+D24+D29+D33+D37)</f>
        <v>7414550.06</v>
      </c>
      <c r="E42" s="30"/>
      <c r="F42" s="30">
        <f>SUM(F11+F16+F19+F24+F29+F33+F37)</f>
        <v>9572769.27</v>
      </c>
      <c r="G42" s="30"/>
      <c r="H42" s="30">
        <f>SUM(H11+H16+H19+H24+H29+H33+H37)</f>
        <v>11029473.48</v>
      </c>
      <c r="I42" s="31"/>
      <c r="J42" s="31"/>
      <c r="K42" s="31"/>
    </row>
    <row r="72" ht="12.75">
      <c r="K72" s="96">
        <v>8</v>
      </c>
    </row>
    <row r="73" ht="18.75">
      <c r="K73" s="86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720" verticalDpi="72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workbookViewId="0" topLeftCell="A43">
      <selection activeCell="E68" sqref="E68"/>
    </sheetView>
  </sheetViews>
  <sheetFormatPr defaultColWidth="9.00390625" defaultRowHeight="12.75"/>
  <cols>
    <col min="1" max="1" width="53.625" style="0" customWidth="1"/>
    <col min="2" max="2" width="13.25390625" style="0" customWidth="1"/>
    <col min="3" max="3" width="14.75390625" style="0" customWidth="1"/>
    <col min="4" max="4" width="15.625" style="0" customWidth="1"/>
    <col min="5" max="5" width="15.625" style="0" bestFit="1" customWidth="1"/>
  </cols>
  <sheetData>
    <row r="1" spans="1:4" ht="27">
      <c r="A1" s="32" t="s">
        <v>122</v>
      </c>
      <c r="B1" s="1"/>
      <c r="C1" s="1"/>
      <c r="D1" s="1"/>
    </row>
    <row r="2" spans="1:4" ht="12.75">
      <c r="A2" s="1"/>
      <c r="B2" s="1"/>
      <c r="C2" s="1"/>
      <c r="D2" s="1"/>
    </row>
    <row r="3" spans="1:4" ht="23.25">
      <c r="A3" s="4" t="s">
        <v>123</v>
      </c>
      <c r="B3" s="1"/>
      <c r="C3" s="1"/>
      <c r="D3" s="1"/>
    </row>
    <row r="4" spans="1:5" ht="15.75">
      <c r="A4" s="33"/>
      <c r="B4" s="34">
        <v>2008</v>
      </c>
      <c r="C4" s="34">
        <v>2009</v>
      </c>
      <c r="D4" s="34">
        <v>2010</v>
      </c>
      <c r="E4" s="34">
        <v>2011</v>
      </c>
    </row>
    <row r="5" spans="1:5" ht="12.75">
      <c r="A5" s="13" t="s">
        <v>22</v>
      </c>
      <c r="B5" s="87">
        <v>18270382</v>
      </c>
      <c r="C5" s="87">
        <v>9144416</v>
      </c>
      <c r="D5" s="87">
        <v>13678059</v>
      </c>
      <c r="E5" s="87">
        <v>12318795</v>
      </c>
    </row>
    <row r="6" spans="1:5" ht="12.75">
      <c r="A6" s="13" t="s">
        <v>23</v>
      </c>
      <c r="B6" s="87">
        <v>14857508</v>
      </c>
      <c r="C6" s="87">
        <v>7406208</v>
      </c>
      <c r="D6" s="87">
        <v>10530986</v>
      </c>
      <c r="E6" s="87">
        <v>9134186</v>
      </c>
    </row>
    <row r="7" spans="1:5" ht="12.75">
      <c r="A7" s="35" t="s">
        <v>24</v>
      </c>
      <c r="B7" s="37">
        <f>(B5-B6)</f>
        <v>3412874</v>
      </c>
      <c r="C7" s="37">
        <f>(C5-C6)</f>
        <v>1738208</v>
      </c>
      <c r="D7" s="37">
        <f>(D5-D6)</f>
        <v>3147073</v>
      </c>
      <c r="E7" s="37">
        <f>(E5-E6)</f>
        <v>3184609</v>
      </c>
    </row>
    <row r="8" ht="12.75">
      <c r="A8" s="13"/>
    </row>
    <row r="9" spans="1:5" ht="12.75">
      <c r="A9" s="13" t="s">
        <v>25</v>
      </c>
      <c r="B9" s="87">
        <v>7868696</v>
      </c>
      <c r="C9" s="87">
        <v>689107</v>
      </c>
      <c r="D9" s="87">
        <v>2211155</v>
      </c>
      <c r="E9" s="87">
        <v>2839239</v>
      </c>
    </row>
    <row r="10" spans="1:5" ht="12.75">
      <c r="A10" s="13" t="s">
        <v>26</v>
      </c>
      <c r="B10" s="87">
        <v>6604485</v>
      </c>
      <c r="C10" s="87">
        <v>1956832</v>
      </c>
      <c r="D10" s="87">
        <v>2346865</v>
      </c>
      <c r="E10" s="87">
        <v>3660750</v>
      </c>
    </row>
    <row r="11" spans="1:5" ht="12.75">
      <c r="A11" s="13" t="s">
        <v>27</v>
      </c>
      <c r="B11" s="87">
        <v>1264211</v>
      </c>
      <c r="C11" s="87">
        <v>-1267725</v>
      </c>
      <c r="D11" s="87">
        <v>-135710</v>
      </c>
      <c r="E11" s="87">
        <v>-821511</v>
      </c>
    </row>
    <row r="12" spans="1:5" ht="12.75">
      <c r="A12" s="13" t="s">
        <v>28</v>
      </c>
      <c r="B12" s="87"/>
      <c r="C12" s="87"/>
      <c r="D12" s="87"/>
      <c r="E12" s="87"/>
    </row>
    <row r="13" spans="1:5" ht="12.75">
      <c r="A13" s="13" t="s">
        <v>29</v>
      </c>
      <c r="B13" s="87">
        <v>7745936</v>
      </c>
      <c r="C13" s="87">
        <v>2433567</v>
      </c>
      <c r="D13" s="87">
        <v>2324527</v>
      </c>
      <c r="E13" s="87">
        <v>3375632</v>
      </c>
    </row>
    <row r="14" spans="1:5" ht="12.75">
      <c r="A14" s="13" t="s">
        <v>30</v>
      </c>
      <c r="B14" s="87">
        <v>6772843</v>
      </c>
      <c r="C14" s="87">
        <v>1731084</v>
      </c>
      <c r="D14" s="87">
        <v>1589923</v>
      </c>
      <c r="E14" s="87">
        <v>2713630</v>
      </c>
    </row>
    <row r="15" spans="1:5" ht="12.75">
      <c r="A15" s="13" t="s">
        <v>31</v>
      </c>
      <c r="B15" s="87">
        <v>973093</v>
      </c>
      <c r="C15" s="87">
        <v>702483</v>
      </c>
      <c r="D15" s="87">
        <v>734604</v>
      </c>
      <c r="E15" s="87">
        <v>662002</v>
      </c>
    </row>
    <row r="16" ht="12.75">
      <c r="A16" s="13"/>
    </row>
    <row r="17" spans="1:5" ht="12.75">
      <c r="A17" s="38" t="s">
        <v>32</v>
      </c>
      <c r="B17" s="39">
        <f>B7+B9-B13</f>
        <v>3535634</v>
      </c>
      <c r="C17" s="39">
        <f>C7+C9-C13</f>
        <v>-6252</v>
      </c>
      <c r="D17" s="39">
        <f>D7+D9-D13</f>
        <v>3033701</v>
      </c>
      <c r="E17" s="39">
        <f>E7+E9-E13</f>
        <v>2648216</v>
      </c>
    </row>
    <row r="18" ht="12.75">
      <c r="A18" s="40"/>
    </row>
    <row r="19" spans="1:5" ht="12.75">
      <c r="A19" s="13" t="s">
        <v>33</v>
      </c>
      <c r="B19" s="87">
        <v>1809844</v>
      </c>
      <c r="C19" s="87">
        <v>1767319</v>
      </c>
      <c r="D19" s="87">
        <v>1597869</v>
      </c>
      <c r="E19" s="87">
        <v>1611291</v>
      </c>
    </row>
    <row r="20" spans="1:5" ht="12.75">
      <c r="A20" s="13" t="s">
        <v>34</v>
      </c>
      <c r="B20" s="87">
        <v>135687</v>
      </c>
      <c r="C20" s="87">
        <v>149984</v>
      </c>
      <c r="D20" s="87">
        <v>167028</v>
      </c>
      <c r="E20" s="87">
        <v>144931</v>
      </c>
    </row>
    <row r="21" spans="1:5" ht="12.75">
      <c r="A21" s="13" t="s">
        <v>97</v>
      </c>
      <c r="B21" s="87">
        <f>82670+368907</f>
        <v>451577</v>
      </c>
      <c r="C21" s="87">
        <f>24782+457598</f>
        <v>482380</v>
      </c>
      <c r="D21" s="87">
        <f>498833+828308</f>
        <v>1327141</v>
      </c>
      <c r="E21" s="87">
        <f>811340+799427</f>
        <v>1610767</v>
      </c>
    </row>
    <row r="22" spans="1:5" ht="12.75">
      <c r="A22" s="13" t="s">
        <v>105</v>
      </c>
      <c r="B22" s="87">
        <f>61747+264172</f>
        <v>325919</v>
      </c>
      <c r="C22" s="87">
        <f>24270+254161</f>
        <v>278431</v>
      </c>
      <c r="D22" s="87">
        <f>188262+413209</f>
        <v>601471</v>
      </c>
      <c r="E22" s="87">
        <f>257241+545038</f>
        <v>802279</v>
      </c>
    </row>
    <row r="23" spans="1:5" ht="12.75">
      <c r="A23" s="13" t="s">
        <v>35</v>
      </c>
      <c r="B23" s="87">
        <v>448855</v>
      </c>
      <c r="C23" s="87">
        <v>697939</v>
      </c>
      <c r="D23" s="87">
        <v>760769</v>
      </c>
      <c r="E23" s="87">
        <v>804931</v>
      </c>
    </row>
    <row r="24" spans="1:5" ht="12.75">
      <c r="A24" s="13" t="s">
        <v>109</v>
      </c>
      <c r="B24" s="87">
        <v>145058</v>
      </c>
      <c r="C24" s="87">
        <v>180435</v>
      </c>
      <c r="D24" s="87">
        <v>-48507</v>
      </c>
      <c r="E24" s="87">
        <v>83789</v>
      </c>
    </row>
    <row r="25" spans="1:5" ht="12.75">
      <c r="A25" s="13"/>
      <c r="B25" s="87"/>
      <c r="C25" s="87"/>
      <c r="D25" s="87"/>
      <c r="E25" s="87"/>
    </row>
    <row r="26" spans="1:5" ht="15">
      <c r="A26" s="41" t="s">
        <v>88</v>
      </c>
      <c r="B26" s="42">
        <f>SUM(B17-B19-B20+B21-B22-B23-B24)</f>
        <v>1121848</v>
      </c>
      <c r="C26" s="42">
        <f>SUM(C17-C19-C20+C21-C22-C23-C24)</f>
        <v>-2597980</v>
      </c>
      <c r="D26" s="42">
        <f>SUM(D17-D19-D20+D21-D22-D23-D24)</f>
        <v>1282212</v>
      </c>
      <c r="E26" s="42">
        <f>SUM(E17-E19-E20+E21-E22-E23-E24)</f>
        <v>811762</v>
      </c>
    </row>
    <row r="27" ht="12.75">
      <c r="A27" s="13"/>
    </row>
    <row r="28" spans="1:5" ht="12.75">
      <c r="A28" s="13" t="s">
        <v>98</v>
      </c>
      <c r="B28" s="87">
        <f>18134+2846+181474+351</f>
        <v>202805</v>
      </c>
      <c r="C28" s="87">
        <f>109260+16389+571+2146+329</f>
        <v>128695</v>
      </c>
      <c r="D28" s="87">
        <f>14590+2498+839</f>
        <v>17927</v>
      </c>
      <c r="E28" s="87">
        <f>453180+13844+901+1411</f>
        <v>469336</v>
      </c>
    </row>
    <row r="29" spans="1:5" ht="12.75">
      <c r="A29" s="13" t="s">
        <v>118</v>
      </c>
      <c r="B29" s="87">
        <f>-6340+537070+126190+101658</f>
        <v>758578</v>
      </c>
      <c r="C29" s="87">
        <f>166637+14288+365364+11085+102591</f>
        <v>659965</v>
      </c>
      <c r="D29" s="87">
        <f>-2158+374855+15787+90963</f>
        <v>479447</v>
      </c>
      <c r="E29" s="87">
        <f>129838+398117+4337+50799</f>
        <v>583091</v>
      </c>
    </row>
    <row r="30" spans="1:5" ht="12.75">
      <c r="A30" s="13"/>
      <c r="B30" s="87"/>
      <c r="C30" s="87"/>
      <c r="D30" s="87"/>
      <c r="E30" s="87"/>
    </row>
    <row r="31" spans="1:5" ht="15">
      <c r="A31" s="43" t="s">
        <v>36</v>
      </c>
      <c r="B31" s="42">
        <f>SUM(B28-B29)</f>
        <v>-555773</v>
      </c>
      <c r="C31" s="42">
        <f>SUM(C28-C29)</f>
        <v>-531270</v>
      </c>
      <c r="D31" s="42">
        <f>SUM(D28-D29)</f>
        <v>-461520</v>
      </c>
      <c r="E31" s="42">
        <f>SUM(E28-E29)</f>
        <v>-113755</v>
      </c>
    </row>
    <row r="32" spans="1:5" ht="12.75">
      <c r="A32" s="44"/>
      <c r="B32" s="87"/>
      <c r="C32" s="87"/>
      <c r="D32" s="87"/>
      <c r="E32" s="87"/>
    </row>
    <row r="33" spans="1:5" ht="12.75">
      <c r="A33" s="13" t="s">
        <v>99</v>
      </c>
      <c r="B33" s="87">
        <v>236351</v>
      </c>
      <c r="C33" s="87"/>
      <c r="D33" s="87">
        <v>4667</v>
      </c>
      <c r="E33" s="87">
        <v>7</v>
      </c>
    </row>
    <row r="34" spans="1:5" ht="12.75">
      <c r="A34" s="13" t="s">
        <v>100</v>
      </c>
      <c r="B34" s="87">
        <v>-56096</v>
      </c>
      <c r="C34" s="87">
        <v>-18692</v>
      </c>
      <c r="D34" s="87">
        <v>263528</v>
      </c>
      <c r="E34" s="87">
        <v>48988</v>
      </c>
    </row>
    <row r="35" spans="1:5" ht="12.75">
      <c r="A35" s="13"/>
      <c r="B35" s="87"/>
      <c r="C35" s="87"/>
      <c r="D35" s="87"/>
      <c r="E35" s="87"/>
    </row>
    <row r="36" spans="1:5" ht="15">
      <c r="A36" s="45" t="s">
        <v>37</v>
      </c>
      <c r="B36" s="46">
        <f>SUM(B26+B31-B33-B34)</f>
        <v>385820</v>
      </c>
      <c r="C36" s="46">
        <f>SUM(C26+C31-C33-C34)</f>
        <v>-3110558</v>
      </c>
      <c r="D36" s="46">
        <f>SUM(D26+D31-D33-D34)</f>
        <v>552497</v>
      </c>
      <c r="E36" s="46">
        <f>SUM(E26+E31-E33-E34)</f>
        <v>649012</v>
      </c>
    </row>
    <row r="37" spans="1:5" ht="12.75">
      <c r="A37" s="40"/>
      <c r="B37" s="87"/>
      <c r="C37" s="87"/>
      <c r="D37" s="87"/>
      <c r="E37" s="87"/>
    </row>
    <row r="38" spans="1:5" ht="12.75">
      <c r="A38" s="13" t="s">
        <v>38</v>
      </c>
      <c r="B38" s="87"/>
      <c r="C38" s="87"/>
      <c r="D38" s="87"/>
      <c r="E38" s="87"/>
    </row>
    <row r="39" spans="1:5" ht="12.75">
      <c r="A39" s="13" t="s">
        <v>39</v>
      </c>
      <c r="B39" s="87"/>
      <c r="C39" s="87"/>
      <c r="D39" s="87"/>
      <c r="E39" s="87"/>
    </row>
    <row r="40" spans="1:5" ht="12.75">
      <c r="A40" s="40" t="s">
        <v>40</v>
      </c>
      <c r="B40" s="87"/>
      <c r="C40" s="87"/>
      <c r="D40" s="87"/>
      <c r="E40" s="87"/>
    </row>
    <row r="41" spans="1:5" ht="12.75">
      <c r="A41" s="40"/>
      <c r="B41" s="87"/>
      <c r="C41" s="87"/>
      <c r="D41" s="87"/>
      <c r="E41" s="87"/>
    </row>
    <row r="42" spans="1:5" ht="15">
      <c r="A42" s="47" t="s">
        <v>41</v>
      </c>
      <c r="B42" s="48">
        <f>SUM(B38-B39-B40)</f>
        <v>0</v>
      </c>
      <c r="C42" s="48">
        <f>SUM(C38-C39-C40)</f>
        <v>0</v>
      </c>
      <c r="D42" s="48">
        <f>SUM(D38-D39-D40)</f>
        <v>0</v>
      </c>
      <c r="E42" s="48">
        <f>SUM(E38-E39-E40)</f>
        <v>0</v>
      </c>
    </row>
    <row r="43" spans="1:5" ht="18">
      <c r="A43" s="49"/>
      <c r="B43" s="87"/>
      <c r="C43" s="87"/>
      <c r="D43" s="87"/>
      <c r="E43" s="87"/>
    </row>
    <row r="44" spans="1:5" ht="18.75">
      <c r="A44" s="50" t="s">
        <v>42</v>
      </c>
      <c r="B44" s="51">
        <f>SUM(B36+B42)</f>
        <v>385820</v>
      </c>
      <c r="C44" s="51">
        <f>SUM(C36+C42)</f>
        <v>-3110558</v>
      </c>
      <c r="D44" s="51">
        <f>SUM(D36+D42)</f>
        <v>552497</v>
      </c>
      <c r="E44" s="51">
        <f>SUM(E36+E42)</f>
        <v>649012</v>
      </c>
    </row>
    <row r="48" ht="18.75">
      <c r="E48" s="86"/>
    </row>
    <row r="49" ht="12.75">
      <c r="E49" s="91"/>
    </row>
    <row r="59" ht="12.75">
      <c r="E59" s="96"/>
    </row>
    <row r="68" ht="12.75">
      <c r="E68">
        <v>44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720" verticalDpi="72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0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0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0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0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0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0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0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0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0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0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40">
      <selection activeCell="G2" sqref="G2"/>
    </sheetView>
  </sheetViews>
  <sheetFormatPr defaultColWidth="9.00390625" defaultRowHeight="12.75"/>
  <cols>
    <col min="1" max="1" width="31.375" style="0" customWidth="1"/>
    <col min="3" max="3" width="17.875" style="0" customWidth="1"/>
    <col min="4" max="5" width="11.75390625" style="0" customWidth="1"/>
    <col min="6" max="6" width="12.00390625" style="0" customWidth="1"/>
    <col min="7" max="7" width="11.125" style="0" customWidth="1"/>
  </cols>
  <sheetData>
    <row r="1" spans="1:6" ht="25.5">
      <c r="A1" s="52" t="s">
        <v>122</v>
      </c>
      <c r="B1" s="53"/>
      <c r="C1" s="53"/>
      <c r="D1" s="54"/>
      <c r="E1" s="54"/>
      <c r="F1" s="54"/>
    </row>
    <row r="2" spans="1:6" ht="12.75">
      <c r="A2" s="55"/>
      <c r="B2" s="55"/>
      <c r="C2" s="55"/>
      <c r="D2" s="55"/>
      <c r="E2" s="55"/>
      <c r="F2" s="55"/>
    </row>
    <row r="3" spans="1:6" ht="23.25">
      <c r="A3" s="4" t="s">
        <v>124</v>
      </c>
      <c r="B3" s="53"/>
      <c r="C3" s="53"/>
      <c r="D3" s="53"/>
      <c r="E3" s="54"/>
      <c r="F3" s="54"/>
    </row>
    <row r="4" spans="1:6" ht="12.75">
      <c r="A4" s="56"/>
      <c r="B4" s="56"/>
      <c r="C4" s="56"/>
      <c r="D4" s="56"/>
      <c r="E4" s="5"/>
      <c r="F4" s="5"/>
    </row>
    <row r="5" spans="1:7" ht="15.75">
      <c r="A5" s="33"/>
      <c r="B5" s="33"/>
      <c r="C5" s="33"/>
      <c r="D5" s="25">
        <v>2008</v>
      </c>
      <c r="E5" s="25">
        <v>2009</v>
      </c>
      <c r="F5" s="25">
        <v>2010</v>
      </c>
      <c r="G5" s="25">
        <v>2011</v>
      </c>
    </row>
    <row r="6" spans="1:7" ht="15">
      <c r="A6" s="41" t="s">
        <v>128</v>
      </c>
      <c r="B6" s="41"/>
      <c r="C6" s="41"/>
      <c r="D6" s="42">
        <f>SUM(D7+D8+D12+D17)</f>
        <v>21480945</v>
      </c>
      <c r="E6" s="42">
        <f>SUM(E7+E8+E12+E17)</f>
        <v>20444269</v>
      </c>
      <c r="F6" s="42">
        <f>SUM(F7+F8+F12+F17)</f>
        <v>20497266</v>
      </c>
      <c r="G6" s="42">
        <f>SUM(G7+G8+G12+G17)</f>
        <v>17646783</v>
      </c>
    </row>
    <row r="7" spans="1:7" ht="12.75">
      <c r="A7" s="35" t="s">
        <v>43</v>
      </c>
      <c r="B7" s="35"/>
      <c r="C7" s="35"/>
      <c r="D7" s="36"/>
      <c r="E7" s="36"/>
      <c r="F7" s="36"/>
      <c r="G7" s="36"/>
    </row>
    <row r="8" spans="1:7" ht="12.75">
      <c r="A8" s="35" t="s">
        <v>125</v>
      </c>
      <c r="B8" s="35"/>
      <c r="C8" s="35"/>
      <c r="D8" s="36">
        <f>SUM(D9:D11)</f>
        <v>8593407</v>
      </c>
      <c r="E8" s="36">
        <f>SUM(E9:E11)</f>
        <v>10759343</v>
      </c>
      <c r="F8" s="36">
        <f>SUM(F9:F11)</f>
        <v>12029331</v>
      </c>
      <c r="G8" s="36">
        <f>SUM(G9:G11)</f>
        <v>9282101</v>
      </c>
    </row>
    <row r="9" spans="1:7" ht="12.75">
      <c r="A9" s="13" t="s">
        <v>44</v>
      </c>
      <c r="B9" s="13" t="s">
        <v>110</v>
      </c>
      <c r="C9" s="13"/>
      <c r="D9" s="14">
        <v>9448</v>
      </c>
      <c r="E9" s="14">
        <v>7086</v>
      </c>
      <c r="F9" s="14">
        <v>4724</v>
      </c>
      <c r="G9" s="14">
        <v>2362</v>
      </c>
    </row>
    <row r="10" spans="1:7" ht="12.75">
      <c r="A10" s="13"/>
      <c r="B10" s="13" t="s">
        <v>111</v>
      </c>
      <c r="C10" s="13"/>
      <c r="D10" s="14">
        <v>8041773</v>
      </c>
      <c r="E10" s="14">
        <v>10441562</v>
      </c>
      <c r="F10" s="14">
        <v>9933097</v>
      </c>
      <c r="G10" s="14">
        <v>8909635</v>
      </c>
    </row>
    <row r="11" spans="1:7" ht="12.75">
      <c r="A11" s="13"/>
      <c r="B11" s="13" t="s">
        <v>94</v>
      </c>
      <c r="C11" s="13"/>
      <c r="D11" s="14">
        <v>542186</v>
      </c>
      <c r="E11" s="14">
        <v>310695</v>
      </c>
      <c r="F11" s="14">
        <v>2091510</v>
      </c>
      <c r="G11" s="14">
        <v>370104</v>
      </c>
    </row>
    <row r="12" spans="1:7" ht="12.75">
      <c r="A12" s="35" t="s">
        <v>126</v>
      </c>
      <c r="B12" s="35"/>
      <c r="C12" s="35"/>
      <c r="D12" s="36">
        <f>SUM(D13:D16)</f>
        <v>12855278</v>
      </c>
      <c r="E12" s="36">
        <f>SUM(E13:E16)</f>
        <v>9637604</v>
      </c>
      <c r="F12" s="36">
        <f>SUM(F13:F16)</f>
        <v>8455583</v>
      </c>
      <c r="G12" s="36">
        <f>SUM(G13:G16)</f>
        <v>8354581</v>
      </c>
    </row>
    <row r="13" spans="1:7" ht="12.75">
      <c r="A13" s="13" t="s">
        <v>44</v>
      </c>
      <c r="B13" s="13" t="s">
        <v>45</v>
      </c>
      <c r="C13" s="13"/>
      <c r="D13" s="14">
        <v>6068606</v>
      </c>
      <c r="E13" s="14">
        <v>4512334</v>
      </c>
      <c r="F13" s="14">
        <v>3937140</v>
      </c>
      <c r="G13" s="14">
        <v>3657485</v>
      </c>
    </row>
    <row r="14" spans="1:7" ht="12.75">
      <c r="A14" s="13"/>
      <c r="B14" s="13" t="s">
        <v>46</v>
      </c>
      <c r="C14" s="13"/>
      <c r="D14" s="14"/>
      <c r="E14" s="14">
        <v>43608</v>
      </c>
      <c r="F14" s="14">
        <v>115149</v>
      </c>
      <c r="G14" s="14">
        <v>55614</v>
      </c>
    </row>
    <row r="15" spans="1:7" ht="12.75">
      <c r="A15" s="13"/>
      <c r="B15" s="13" t="s">
        <v>47</v>
      </c>
      <c r="C15" s="13"/>
      <c r="D15" s="14">
        <v>6355768</v>
      </c>
      <c r="E15" s="14">
        <v>4882705</v>
      </c>
      <c r="F15" s="14">
        <v>4307062</v>
      </c>
      <c r="G15" s="14">
        <v>4498012</v>
      </c>
    </row>
    <row r="16" spans="1:7" ht="12.75">
      <c r="A16" s="13"/>
      <c r="B16" s="13" t="s">
        <v>112</v>
      </c>
      <c r="C16" s="13"/>
      <c r="D16" s="14">
        <v>430904</v>
      </c>
      <c r="E16" s="14">
        <v>198957</v>
      </c>
      <c r="F16" s="14">
        <v>96232</v>
      </c>
      <c r="G16" s="14">
        <v>143470</v>
      </c>
    </row>
    <row r="17" spans="1:7" ht="12.75">
      <c r="A17" s="35" t="s">
        <v>95</v>
      </c>
      <c r="B17" s="35"/>
      <c r="C17" s="35"/>
      <c r="D17" s="36">
        <v>32260</v>
      </c>
      <c r="E17" s="36">
        <v>47322</v>
      </c>
      <c r="F17" s="36">
        <v>12352</v>
      </c>
      <c r="G17" s="36">
        <v>10101</v>
      </c>
    </row>
    <row r="18" spans="1:7" ht="12.75">
      <c r="A18" s="13"/>
      <c r="B18" s="13"/>
      <c r="C18" s="13"/>
      <c r="D18" s="14"/>
      <c r="E18" s="14"/>
      <c r="F18" s="14"/>
      <c r="G18" s="14"/>
    </row>
    <row r="19" spans="1:7" ht="15">
      <c r="A19" s="57" t="s">
        <v>127</v>
      </c>
      <c r="B19" s="57"/>
      <c r="C19" s="57"/>
      <c r="D19" s="48">
        <f>SUM(D20+D26+D33)</f>
        <v>21480944.97477262</v>
      </c>
      <c r="E19" s="48">
        <f>SUM(E20+E26+E33)</f>
        <v>20444269</v>
      </c>
      <c r="F19" s="48">
        <f>SUM(F20+F26+F33)</f>
        <v>20497266</v>
      </c>
      <c r="G19" s="48">
        <f>SUM(G20+G26+G33)</f>
        <v>17646783</v>
      </c>
    </row>
    <row r="20" spans="1:7" ht="12.75">
      <c r="A20" s="35" t="s">
        <v>48</v>
      </c>
      <c r="B20" s="35"/>
      <c r="C20" s="35"/>
      <c r="D20" s="36">
        <f>SUM(D21:D25)</f>
        <v>6063626.974772622</v>
      </c>
      <c r="E20" s="36">
        <f>SUM(E21:E25)</f>
        <v>2830191</v>
      </c>
      <c r="F20" s="36">
        <f>SUM(F21:F25)</f>
        <v>3292075</v>
      </c>
      <c r="G20" s="36">
        <f>SUM(G21:G25)</f>
        <v>2790481</v>
      </c>
    </row>
    <row r="21" spans="1:7" ht="12.75">
      <c r="A21" s="13"/>
      <c r="B21" s="13" t="s">
        <v>49</v>
      </c>
      <c r="C21" s="13"/>
      <c r="D21" s="14">
        <v>3709724</v>
      </c>
      <c r="E21" s="14">
        <v>3710407</v>
      </c>
      <c r="F21" s="14">
        <v>3698914</v>
      </c>
      <c r="G21" s="14">
        <v>2698670</v>
      </c>
    </row>
    <row r="22" spans="1:7" ht="12.75">
      <c r="A22" s="13"/>
      <c r="B22" s="13" t="s">
        <v>50</v>
      </c>
      <c r="C22" s="13"/>
      <c r="D22" s="14">
        <v>1059808</v>
      </c>
      <c r="E22" s="14">
        <v>1009159</v>
      </c>
      <c r="F22" s="14">
        <v>150693</v>
      </c>
      <c r="G22" s="14">
        <v>-612441</v>
      </c>
    </row>
    <row r="23" spans="1:7" ht="12.75">
      <c r="A23" s="13"/>
      <c r="B23" s="13" t="s">
        <v>51</v>
      </c>
      <c r="C23" s="13"/>
      <c r="D23" s="14">
        <f>5069000/30.126</f>
        <v>168259.97477262164</v>
      </c>
      <c r="E23" s="14">
        <v>206865</v>
      </c>
      <c r="F23" s="14"/>
      <c r="G23" s="14">
        <v>55240</v>
      </c>
    </row>
    <row r="24" spans="1:7" ht="12.75">
      <c r="A24" s="13"/>
      <c r="B24" s="13" t="s">
        <v>52</v>
      </c>
      <c r="C24" s="13"/>
      <c r="D24" s="14">
        <v>740015</v>
      </c>
      <c r="E24" s="14">
        <v>1014318</v>
      </c>
      <c r="F24" s="14">
        <v>-1110029</v>
      </c>
      <c r="G24" s="14"/>
    </row>
    <row r="25" spans="1:7" ht="12.75">
      <c r="A25" s="13"/>
      <c r="B25" s="13" t="s">
        <v>53</v>
      </c>
      <c r="C25" s="13"/>
      <c r="D25" s="14">
        <v>385820</v>
      </c>
      <c r="E25" s="14">
        <v>-3110558</v>
      </c>
      <c r="F25" s="14">
        <v>552497</v>
      </c>
      <c r="G25" s="14">
        <v>649012</v>
      </c>
    </row>
    <row r="26" spans="1:7" ht="12.75">
      <c r="A26" s="35" t="s">
        <v>86</v>
      </c>
      <c r="B26" s="35"/>
      <c r="C26" s="35"/>
      <c r="D26" s="36">
        <f>SUM(D27:D30)</f>
        <v>15261366</v>
      </c>
      <c r="E26" s="36">
        <f>SUM(E27:E30)</f>
        <v>16176836</v>
      </c>
      <c r="F26" s="36">
        <f>SUM(F27:F30)</f>
        <v>14959391</v>
      </c>
      <c r="G26" s="36">
        <f>SUM(G27:G30)</f>
        <v>12957702</v>
      </c>
    </row>
    <row r="27" spans="1:7" ht="12.75">
      <c r="A27" s="13"/>
      <c r="B27" s="13" t="s">
        <v>96</v>
      </c>
      <c r="C27" s="13"/>
      <c r="D27" s="14">
        <v>122415</v>
      </c>
      <c r="E27" s="14">
        <v>75833</v>
      </c>
      <c r="F27" s="14">
        <v>80837</v>
      </c>
      <c r="G27" s="14">
        <v>63519</v>
      </c>
    </row>
    <row r="28" spans="1:7" ht="12.75">
      <c r="A28" s="13"/>
      <c r="B28" s="13" t="s">
        <v>54</v>
      </c>
      <c r="C28" s="13"/>
      <c r="D28" s="14">
        <v>355557</v>
      </c>
      <c r="E28" s="14">
        <v>291267</v>
      </c>
      <c r="F28" s="14">
        <v>604671</v>
      </c>
      <c r="G28" s="14">
        <v>636939</v>
      </c>
    </row>
    <row r="29" spans="1:7" ht="12.75">
      <c r="A29" s="13"/>
      <c r="B29" s="13" t="s">
        <v>55</v>
      </c>
      <c r="C29" s="13"/>
      <c r="D29" s="14">
        <v>4567181</v>
      </c>
      <c r="E29" s="14">
        <f>4323675+130000</f>
        <v>4453675</v>
      </c>
      <c r="F29" s="14">
        <v>4369965</v>
      </c>
      <c r="G29" s="14">
        <v>3009117</v>
      </c>
    </row>
    <row r="30" spans="1:7" ht="12.75">
      <c r="A30" s="13"/>
      <c r="B30" s="13" t="s">
        <v>113</v>
      </c>
      <c r="C30" s="13"/>
      <c r="D30" s="14">
        <v>10216213</v>
      </c>
      <c r="E30" s="14">
        <v>11356061</v>
      </c>
      <c r="F30" s="14">
        <v>9903918</v>
      </c>
      <c r="G30" s="14">
        <v>9248127</v>
      </c>
    </row>
    <row r="31" spans="1:7" ht="12.75">
      <c r="A31" s="13"/>
      <c r="B31" s="13" t="s">
        <v>114</v>
      </c>
      <c r="C31" s="13"/>
      <c r="D31" s="14">
        <v>3189681</v>
      </c>
      <c r="E31" s="14">
        <v>1460599</v>
      </c>
      <c r="F31" s="14">
        <v>1066729</v>
      </c>
      <c r="G31" s="14">
        <v>371778</v>
      </c>
    </row>
    <row r="32" spans="1:7" ht="12.75">
      <c r="A32" s="13"/>
      <c r="B32" s="13" t="s">
        <v>115</v>
      </c>
      <c r="C32" s="13"/>
      <c r="D32" s="14">
        <v>7026532</v>
      </c>
      <c r="E32" s="14">
        <v>9859462</v>
      </c>
      <c r="F32" s="14">
        <v>8837189</v>
      </c>
      <c r="G32" s="14">
        <v>8876349</v>
      </c>
    </row>
    <row r="33" spans="1:7" ht="12.75">
      <c r="A33" s="35" t="s">
        <v>95</v>
      </c>
      <c r="B33" s="35"/>
      <c r="C33" s="35"/>
      <c r="D33" s="36">
        <v>155952</v>
      </c>
      <c r="E33" s="36">
        <v>1437242</v>
      </c>
      <c r="F33" s="36">
        <v>2245800</v>
      </c>
      <c r="G33" s="36">
        <v>1898600</v>
      </c>
    </row>
    <row r="62" ht="18.75">
      <c r="H62" s="86"/>
    </row>
    <row r="65" ht="12.75">
      <c r="G65" s="91"/>
    </row>
    <row r="68" ht="12.75">
      <c r="H68">
        <v>45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720" verticalDpi="720" orientation="portrait" paperSize="9" scale="76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E10" sqref="E10"/>
    </sheetView>
  </sheetViews>
  <sheetFormatPr defaultColWidth="9.00390625" defaultRowHeight="12.75"/>
  <cols>
    <col min="1" max="1" width="43.00390625" style="0" customWidth="1"/>
    <col min="2" max="2" width="10.375" style="0" customWidth="1"/>
    <col min="3" max="3" width="12.25390625" style="0" customWidth="1"/>
    <col min="4" max="4" width="11.375" style="0" customWidth="1"/>
    <col min="5" max="5" width="11.625" style="0" customWidth="1"/>
    <col min="6" max="6" width="12.25390625" style="0" customWidth="1"/>
  </cols>
  <sheetData>
    <row r="1" spans="1:5" ht="12.75">
      <c r="A1" s="58"/>
      <c r="B1" s="58"/>
      <c r="C1" s="58"/>
      <c r="D1" s="58"/>
      <c r="E1" s="58"/>
    </row>
    <row r="2" spans="1:5" ht="27">
      <c r="A2" s="32" t="s">
        <v>129</v>
      </c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23.25">
      <c r="A4" s="4" t="s">
        <v>130</v>
      </c>
      <c r="B4" s="1"/>
      <c r="C4" s="1"/>
      <c r="D4" s="1"/>
      <c r="E4" s="1"/>
    </row>
    <row r="5" spans="1:5" ht="12.75">
      <c r="A5" s="5"/>
      <c r="B5" s="5"/>
      <c r="C5" s="5"/>
      <c r="D5" s="5"/>
      <c r="E5" s="5"/>
    </row>
    <row r="6" spans="1:5" ht="12.75">
      <c r="A6" s="5"/>
      <c r="B6" s="5"/>
      <c r="C6" s="5"/>
      <c r="D6" s="5"/>
      <c r="E6" s="5"/>
    </row>
    <row r="7" spans="1:6" ht="15.75">
      <c r="A7" s="59" t="s">
        <v>56</v>
      </c>
      <c r="B7" s="60" t="s">
        <v>57</v>
      </c>
      <c r="C7" s="61" t="s">
        <v>58</v>
      </c>
      <c r="D7" s="61" t="s">
        <v>58</v>
      </c>
      <c r="E7" s="61" t="s">
        <v>58</v>
      </c>
      <c r="F7" s="61" t="s">
        <v>58</v>
      </c>
    </row>
    <row r="8" spans="1:6" ht="15.75">
      <c r="A8" s="24"/>
      <c r="B8" s="60" t="s">
        <v>59</v>
      </c>
      <c r="C8" s="61">
        <v>2008</v>
      </c>
      <c r="D8" s="61">
        <v>2009</v>
      </c>
      <c r="E8" s="61">
        <v>2010</v>
      </c>
      <c r="F8" s="61">
        <v>2011</v>
      </c>
    </row>
    <row r="9" spans="1:6" ht="12.75">
      <c r="A9" s="62"/>
      <c r="B9" s="62"/>
      <c r="C9" s="62"/>
      <c r="D9" s="62"/>
      <c r="E9" s="62"/>
      <c r="F9" s="62"/>
    </row>
    <row r="10" spans="1:6" ht="12.75">
      <c r="A10" s="5" t="s">
        <v>60</v>
      </c>
      <c r="B10" s="63" t="s">
        <v>103</v>
      </c>
      <c r="C10" s="87">
        <v>385820</v>
      </c>
      <c r="D10" s="87">
        <v>-3110558</v>
      </c>
      <c r="E10" s="87">
        <v>552497</v>
      </c>
      <c r="F10" s="87">
        <v>649012</v>
      </c>
    </row>
    <row r="11" spans="1:6" ht="12.75">
      <c r="A11" s="5" t="s">
        <v>61</v>
      </c>
      <c r="B11" s="63" t="s">
        <v>103</v>
      </c>
      <c r="C11" s="87">
        <v>26793460</v>
      </c>
      <c r="D11" s="87">
        <v>10444598</v>
      </c>
      <c r="E11" s="87">
        <v>17234282</v>
      </c>
      <c r="F11" s="87">
        <v>17238137</v>
      </c>
    </row>
    <row r="12" spans="1:6" ht="12.75">
      <c r="A12" s="5" t="s">
        <v>62</v>
      </c>
      <c r="B12" s="63" t="s">
        <v>103</v>
      </c>
      <c r="C12" s="87">
        <v>24874867</v>
      </c>
      <c r="D12" s="87">
        <f>9144416+1956832</f>
        <v>11101248</v>
      </c>
      <c r="E12" s="87">
        <f>13678059+2346865</f>
        <v>16024924</v>
      </c>
      <c r="F12" s="87">
        <f>12318795+3660750+453180+811340</f>
        <v>17244065</v>
      </c>
    </row>
    <row r="13" spans="1:6" ht="12.75">
      <c r="A13" s="5" t="s">
        <v>63</v>
      </c>
      <c r="B13" s="63" t="s">
        <v>103</v>
      </c>
      <c r="C13" s="87">
        <v>26407640</v>
      </c>
      <c r="D13" s="87">
        <v>13555156</v>
      </c>
      <c r="E13" s="87">
        <v>16681785</v>
      </c>
      <c r="F13" s="87">
        <v>16589125</v>
      </c>
    </row>
    <row r="14" spans="1:6" ht="12.75">
      <c r="A14" s="5" t="s">
        <v>64</v>
      </c>
      <c r="B14" s="63" t="s">
        <v>103</v>
      </c>
      <c r="C14" s="87">
        <v>3535634</v>
      </c>
      <c r="D14" s="87">
        <v>-6252</v>
      </c>
      <c r="E14" s="87">
        <v>3033701</v>
      </c>
      <c r="F14" s="87">
        <v>2648216</v>
      </c>
    </row>
    <row r="15" spans="1:6" ht="12.75">
      <c r="A15" s="5" t="s">
        <v>104</v>
      </c>
      <c r="B15" s="63" t="s">
        <v>103</v>
      </c>
      <c r="C15" s="88">
        <f>C10/C12*100</f>
        <v>1.5510434688957333</v>
      </c>
      <c r="D15" s="88">
        <f>D10/D12*100</f>
        <v>-28.019894700127406</v>
      </c>
      <c r="E15" s="88">
        <f>E10/E12*100</f>
        <v>3.447735539962623</v>
      </c>
      <c r="F15" s="88">
        <f>F10/F12*100</f>
        <v>3.763683331047523</v>
      </c>
    </row>
    <row r="16" spans="1:6" ht="12.75">
      <c r="A16" s="5" t="s">
        <v>65</v>
      </c>
      <c r="B16" s="63" t="s">
        <v>66</v>
      </c>
      <c r="C16" s="88">
        <v>1.796</v>
      </c>
      <c r="D16" s="88">
        <v>-15.215</v>
      </c>
      <c r="E16" s="88">
        <v>2.695</v>
      </c>
      <c r="F16" s="88">
        <v>2.3754</v>
      </c>
    </row>
    <row r="17" spans="1:6" ht="12.75">
      <c r="A17" s="5" t="s">
        <v>67</v>
      </c>
      <c r="B17" s="63" t="s">
        <v>66</v>
      </c>
      <c r="C17" s="88">
        <f>C10/C11*100</f>
        <v>1.4399782633523255</v>
      </c>
      <c r="D17" s="88">
        <f>D10/D11*100</f>
        <v>-29.78150044645088</v>
      </c>
      <c r="E17" s="88">
        <f>E10/E11*100</f>
        <v>3.205802249261095</v>
      </c>
      <c r="F17" s="88">
        <f>F10/F11*100</f>
        <v>3.764977619101183</v>
      </c>
    </row>
    <row r="18" spans="1:6" ht="12.75">
      <c r="A18" s="5" t="s">
        <v>68</v>
      </c>
      <c r="B18" s="63" t="s">
        <v>103</v>
      </c>
      <c r="C18" s="88">
        <v>3.44</v>
      </c>
      <c r="D18" s="88">
        <v>-27.706</v>
      </c>
      <c r="E18" s="88">
        <v>4.92</v>
      </c>
      <c r="F18" s="88">
        <v>5.7808</v>
      </c>
    </row>
    <row r="19" spans="1:6" ht="12.75">
      <c r="A19" s="62"/>
      <c r="B19" s="64"/>
      <c r="C19" s="62"/>
      <c r="D19" s="62"/>
      <c r="E19" s="62"/>
      <c r="F19" s="62"/>
    </row>
    <row r="20" spans="1:6" ht="12.75">
      <c r="A20" s="5" t="s">
        <v>69</v>
      </c>
      <c r="B20" s="63" t="s">
        <v>66</v>
      </c>
      <c r="C20" s="89">
        <v>71.05</v>
      </c>
      <c r="D20" s="89">
        <v>79.13</v>
      </c>
      <c r="E20" s="89">
        <v>79.982</v>
      </c>
      <c r="F20" s="89">
        <v>73.4281</v>
      </c>
    </row>
    <row r="21" spans="1:6" ht="12.75">
      <c r="A21" s="5" t="s">
        <v>70</v>
      </c>
      <c r="B21" s="63" t="s">
        <v>66</v>
      </c>
      <c r="C21" s="88">
        <v>47.56</v>
      </c>
      <c r="D21" s="88">
        <v>55.55</v>
      </c>
      <c r="E21" s="88">
        <v>48.318</v>
      </c>
      <c r="F21" s="88">
        <v>52.4068</v>
      </c>
    </row>
    <row r="22" spans="1:6" ht="12.75">
      <c r="A22" s="5" t="s">
        <v>71</v>
      </c>
      <c r="B22" s="63"/>
      <c r="C22" s="88">
        <v>0.59</v>
      </c>
      <c r="D22" s="88">
        <v>0.35</v>
      </c>
      <c r="E22" s="88">
        <v>0.333</v>
      </c>
      <c r="F22" s="88">
        <v>0.39</v>
      </c>
    </row>
    <row r="23" spans="1:6" ht="12.75">
      <c r="A23" s="5" t="s">
        <v>72</v>
      </c>
      <c r="B23" s="63"/>
      <c r="C23" s="88">
        <v>1.11</v>
      </c>
      <c r="D23" s="88">
        <v>0.68</v>
      </c>
      <c r="E23" s="88">
        <v>0.6508</v>
      </c>
      <c r="F23" s="88">
        <v>0.7076</v>
      </c>
    </row>
    <row r="24" spans="1:6" ht="12.75">
      <c r="A24" s="62"/>
      <c r="B24" s="64"/>
      <c r="C24" s="62"/>
      <c r="D24" s="62"/>
      <c r="E24" s="62"/>
      <c r="F24" s="62"/>
    </row>
    <row r="25" spans="1:6" ht="12.75">
      <c r="A25" s="5" t="s">
        <v>73</v>
      </c>
      <c r="B25" s="63" t="s">
        <v>74</v>
      </c>
      <c r="C25" s="87">
        <v>178</v>
      </c>
      <c r="D25" s="87">
        <v>169</v>
      </c>
      <c r="E25" s="87">
        <v>150</v>
      </c>
      <c r="F25" s="87">
        <v>136</v>
      </c>
    </row>
    <row r="26" spans="1:6" ht="12.75">
      <c r="A26" s="5" t="s">
        <v>75</v>
      </c>
      <c r="B26" s="63" t="s">
        <v>103</v>
      </c>
      <c r="C26" s="87">
        <f>15362/30.126</f>
        <v>509.9249817433446</v>
      </c>
      <c r="D26" s="87">
        <v>596</v>
      </c>
      <c r="E26" s="87">
        <v>610.934</v>
      </c>
      <c r="F26" s="87">
        <v>675.55</v>
      </c>
    </row>
    <row r="27" spans="1:6" ht="12.75">
      <c r="A27" s="5" t="s">
        <v>76</v>
      </c>
      <c r="B27" s="63" t="s">
        <v>103</v>
      </c>
      <c r="C27" s="87">
        <f>C12/C25</f>
        <v>139746.44382022473</v>
      </c>
      <c r="D27" s="87">
        <f>D12/D25</f>
        <v>65687.85798816568</v>
      </c>
      <c r="E27" s="87">
        <f>E12/E25</f>
        <v>106832.82666666666</v>
      </c>
      <c r="F27" s="87">
        <f>F12/F25</f>
        <v>126794.5955882353</v>
      </c>
    </row>
    <row r="28" spans="1:6" ht="12.75">
      <c r="A28" s="5" t="s">
        <v>77</v>
      </c>
      <c r="B28" s="63" t="s">
        <v>103</v>
      </c>
      <c r="C28" s="87">
        <f>C14/C25</f>
        <v>19863.112359550563</v>
      </c>
      <c r="D28" s="87">
        <f>D14/D25</f>
        <v>-36.994082840236686</v>
      </c>
      <c r="E28" s="87">
        <f>E14/E25</f>
        <v>20224.673333333332</v>
      </c>
      <c r="F28" s="87">
        <f>F14/F25</f>
        <v>19472.176470588234</v>
      </c>
    </row>
    <row r="30" ht="12.75">
      <c r="A30" s="97" t="s">
        <v>134</v>
      </c>
    </row>
    <row r="31" ht="12.75">
      <c r="A31" s="97" t="s">
        <v>135</v>
      </c>
    </row>
    <row r="56" ht="18.75">
      <c r="F56" s="86"/>
    </row>
    <row r="58" ht="12.75">
      <c r="A58" s="97" t="s">
        <v>136</v>
      </c>
    </row>
    <row r="59" ht="12.75">
      <c r="A59" s="97" t="s">
        <v>135</v>
      </c>
    </row>
    <row r="60" ht="12.75">
      <c r="F60" s="91"/>
    </row>
    <row r="68" ht="12.75">
      <c r="G68">
        <v>46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720" verticalDpi="720" orientation="portrait" paperSize="9" scale="7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44.00390625" style="0" customWidth="1"/>
    <col min="3" max="3" width="2.75390625" style="0" customWidth="1"/>
    <col min="4" max="4" width="15.375" style="0" customWidth="1"/>
    <col min="5" max="5" width="16.25390625" style="0" customWidth="1"/>
    <col min="6" max="6" width="19.25390625" style="0" customWidth="1"/>
    <col min="7" max="7" width="14.125" style="0" customWidth="1"/>
    <col min="8" max="8" width="10.375" style="0" customWidth="1"/>
  </cols>
  <sheetData>
    <row r="1" spans="1:6" ht="30">
      <c r="A1" s="2" t="s">
        <v>122</v>
      </c>
      <c r="B1" s="65"/>
      <c r="C1" s="65"/>
      <c r="D1" s="65"/>
      <c r="E1" s="65"/>
      <c r="F1" s="65"/>
    </row>
    <row r="2" spans="1:6" ht="12.75">
      <c r="A2" s="66"/>
      <c r="B2" s="65"/>
      <c r="C2" s="65"/>
      <c r="D2" s="65"/>
      <c r="E2" s="67"/>
      <c r="F2" s="65"/>
    </row>
    <row r="3" spans="1:6" ht="23.25">
      <c r="A3" s="4" t="s">
        <v>78</v>
      </c>
      <c r="B3" s="65"/>
      <c r="C3" s="65"/>
      <c r="D3" s="65"/>
      <c r="E3" s="67"/>
      <c r="F3" s="65"/>
    </row>
    <row r="4" spans="1:6" ht="23.25">
      <c r="A4" s="68"/>
      <c r="B4" s="65"/>
      <c r="C4" s="65"/>
      <c r="D4" s="65"/>
      <c r="E4" s="67"/>
      <c r="F4" s="65"/>
    </row>
    <row r="5" spans="1:6" ht="12.75">
      <c r="A5" s="5"/>
      <c r="B5" s="5"/>
      <c r="C5" s="5"/>
      <c r="D5" s="5"/>
      <c r="E5" s="5"/>
      <c r="F5" s="5"/>
    </row>
    <row r="6" spans="1:8" ht="15.75">
      <c r="A6" s="60" t="s">
        <v>79</v>
      </c>
      <c r="B6" s="24"/>
      <c r="C6" s="24"/>
      <c r="D6" s="60" t="s">
        <v>80</v>
      </c>
      <c r="E6" s="98" t="s">
        <v>101</v>
      </c>
      <c r="F6" s="98"/>
      <c r="G6" s="98" t="s">
        <v>89</v>
      </c>
      <c r="H6" s="98"/>
    </row>
    <row r="7" spans="1:8" ht="15.75">
      <c r="A7" s="24"/>
      <c r="B7" s="24"/>
      <c r="C7" s="24"/>
      <c r="D7" s="60" t="s">
        <v>81</v>
      </c>
      <c r="E7" s="98" t="s">
        <v>106</v>
      </c>
      <c r="F7" s="98"/>
      <c r="G7" s="98" t="s">
        <v>107</v>
      </c>
      <c r="H7" s="98"/>
    </row>
    <row r="8" spans="1:6" ht="15.75">
      <c r="A8" s="69"/>
      <c r="B8" s="69"/>
      <c r="C8" s="69"/>
      <c r="D8" s="70"/>
      <c r="E8" s="71"/>
      <c r="F8" s="69"/>
    </row>
    <row r="9" spans="1:8" ht="15">
      <c r="A9" s="72" t="s">
        <v>82</v>
      </c>
      <c r="B9" s="72"/>
      <c r="C9" s="72"/>
      <c r="D9" s="73">
        <v>1</v>
      </c>
      <c r="E9" s="93">
        <v>21542.85</v>
      </c>
      <c r="F9" s="75" t="s">
        <v>103</v>
      </c>
      <c r="G9" s="74">
        <v>-5719.49</v>
      </c>
      <c r="H9" s="75" t="s">
        <v>103</v>
      </c>
    </row>
    <row r="10" spans="1:6" ht="15">
      <c r="A10" s="76"/>
      <c r="B10" s="76"/>
      <c r="C10" s="76"/>
      <c r="D10" s="77"/>
      <c r="E10" s="94"/>
      <c r="F10" s="78"/>
    </row>
    <row r="11" spans="1:6" ht="15">
      <c r="A11" s="76"/>
      <c r="B11" s="76"/>
      <c r="C11" s="76"/>
      <c r="D11" s="77"/>
      <c r="E11" s="94"/>
      <c r="F11" s="78"/>
    </row>
    <row r="12" spans="1:8" ht="15">
      <c r="A12" s="72" t="s">
        <v>83</v>
      </c>
      <c r="B12" s="72"/>
      <c r="C12" s="72"/>
      <c r="D12" s="73">
        <v>0.66</v>
      </c>
      <c r="E12" s="93">
        <v>153356</v>
      </c>
      <c r="F12" s="75" t="s">
        <v>103</v>
      </c>
      <c r="G12" s="74">
        <v>38179.86</v>
      </c>
      <c r="H12" s="75" t="s">
        <v>103</v>
      </c>
    </row>
    <row r="13" spans="1:6" ht="15">
      <c r="A13" s="76"/>
      <c r="B13" s="76"/>
      <c r="C13" s="76"/>
      <c r="D13" s="79"/>
      <c r="E13" s="94"/>
      <c r="F13" s="78"/>
    </row>
    <row r="14" spans="1:6" ht="15">
      <c r="A14" s="76"/>
      <c r="B14" s="76"/>
      <c r="C14" s="76"/>
      <c r="D14" s="79"/>
      <c r="E14" s="94"/>
      <c r="F14" s="78"/>
    </row>
    <row r="15" spans="1:8" ht="15">
      <c r="A15" s="72" t="s">
        <v>90</v>
      </c>
      <c r="B15" s="72"/>
      <c r="C15" s="72"/>
      <c r="D15" s="73">
        <v>0.375</v>
      </c>
      <c r="E15" s="93">
        <v>2157.6</v>
      </c>
      <c r="F15" s="75" t="s">
        <v>103</v>
      </c>
      <c r="G15" s="74">
        <v>-792.05</v>
      </c>
      <c r="H15" s="75" t="s">
        <v>103</v>
      </c>
    </row>
    <row r="16" spans="1:6" ht="15">
      <c r="A16" s="76"/>
      <c r="B16" s="76"/>
      <c r="C16" s="76"/>
      <c r="D16" s="80"/>
      <c r="E16" s="94"/>
      <c r="F16" s="78"/>
    </row>
    <row r="17" spans="1:6" ht="15">
      <c r="A17" s="76"/>
      <c r="B17" s="76"/>
      <c r="C17" s="76"/>
      <c r="D17" s="80"/>
      <c r="E17" s="94"/>
      <c r="F17" s="78"/>
    </row>
    <row r="18" spans="1:6" ht="15">
      <c r="A18" s="69"/>
      <c r="B18" s="69"/>
      <c r="C18" s="69"/>
      <c r="D18" s="69"/>
      <c r="E18" s="81"/>
      <c r="F18" s="69"/>
    </row>
    <row r="19" spans="1:8" ht="18.75">
      <c r="A19" s="82" t="s">
        <v>84</v>
      </c>
      <c r="B19" s="83"/>
      <c r="C19" s="83"/>
      <c r="D19" s="83"/>
      <c r="E19" s="95">
        <f>SUM(E9:E17)</f>
        <v>177056.45</v>
      </c>
      <c r="F19" s="82" t="s">
        <v>103</v>
      </c>
      <c r="G19" s="84">
        <f>SUM(G9:G17)</f>
        <v>31668.320000000003</v>
      </c>
      <c r="H19" s="82" t="s">
        <v>103</v>
      </c>
    </row>
    <row r="52" ht="12.75">
      <c r="H52" s="91"/>
    </row>
    <row r="57" spans="6:8" ht="18.75">
      <c r="F57" s="86"/>
      <c r="H57" s="86"/>
    </row>
    <row r="62" ht="12.75">
      <c r="H62" s="92"/>
    </row>
    <row r="75" ht="12.75">
      <c r="H75">
        <v>47</v>
      </c>
    </row>
  </sheetData>
  <mergeCells count="4">
    <mergeCell ref="G6:H6"/>
    <mergeCell ref="G7:H7"/>
    <mergeCell ref="E6:F6"/>
    <mergeCell ref="E7:F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720" verticalDpi="720" orientation="portrait" paperSize="9" scale="66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F3" sqref="F3"/>
    </sheetView>
  </sheetViews>
  <sheetFormatPr defaultColWidth="9.00390625" defaultRowHeight="12.75"/>
  <cols>
    <col min="1" max="1" width="31.75390625" style="0" customWidth="1"/>
    <col min="2" max="2" width="13.00390625" style="0" customWidth="1"/>
  </cols>
  <sheetData>
    <row r="2" spans="1:6" ht="12.75">
      <c r="A2" t="s">
        <v>93</v>
      </c>
      <c r="B2" s="85">
        <f>SUM('dcer.spol_2011'!E9/List8!F2)</f>
        <v>0.12167221244975823</v>
      </c>
      <c r="F2">
        <v>177056.45</v>
      </c>
    </row>
    <row r="3" spans="1:2" ht="12.75">
      <c r="A3" t="s">
        <v>91</v>
      </c>
      <c r="B3" s="85">
        <f>SUM('dcer.spol_2011'!E12/List8!F2)</f>
        <v>0.8661418434629181</v>
      </c>
    </row>
    <row r="4" spans="1:2" ht="12.75">
      <c r="A4" t="s">
        <v>92</v>
      </c>
      <c r="B4" s="85">
        <f>SUM('dcer.spol_2011'!E15/List8!F2)</f>
        <v>0.01218594408732356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E5"/>
  <sheetViews>
    <sheetView workbookViewId="0" topLeftCell="A1">
      <selection activeCell="B5" sqref="B5:E5"/>
    </sheetView>
  </sheetViews>
  <sheetFormatPr defaultColWidth="9.00390625" defaultRowHeight="12.75"/>
  <cols>
    <col min="1" max="1" width="14.375" style="0" customWidth="1"/>
  </cols>
  <sheetData>
    <row r="4" spans="2:5" ht="12.75">
      <c r="B4">
        <v>2008</v>
      </c>
      <c r="C4">
        <v>2009</v>
      </c>
      <c r="D4">
        <v>2010</v>
      </c>
      <c r="E4">
        <v>2011</v>
      </c>
    </row>
    <row r="5" spans="1:5" ht="12.75">
      <c r="A5" s="5" t="s">
        <v>64</v>
      </c>
      <c r="B5" s="87">
        <v>3535634</v>
      </c>
      <c r="C5" s="87">
        <v>-6252</v>
      </c>
      <c r="D5" s="87">
        <v>3033701</v>
      </c>
      <c r="E5" s="87">
        <v>2648216</v>
      </c>
    </row>
  </sheetData>
  <printOptions/>
  <pageMargins left="0.75" right="0.75" top="1" bottom="1" header="0.4921259845" footer="0.4921259845"/>
  <pageSetup orientation="portrait" paperSize="9" r:id="rId2"/>
  <headerFooter alignWithMargins="0">
    <oddHeader>&amp;C&amp;A</oddHeader>
    <oddFooter>&amp;CStrana &amp;P</oddFooter>
  </headerFooter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4"/>
  <sheetViews>
    <sheetView workbookViewId="0" topLeftCell="A1">
      <selection activeCell="E5" sqref="E5"/>
    </sheetView>
  </sheetViews>
  <sheetFormatPr defaultColWidth="9.00390625" defaultRowHeight="12.75"/>
  <cols>
    <col min="1" max="1" width="10.625" style="0" customWidth="1"/>
    <col min="2" max="5" width="10.125" style="0" bestFit="1" customWidth="1"/>
  </cols>
  <sheetData>
    <row r="2" spans="2:5" ht="12.75">
      <c r="B2">
        <v>2008</v>
      </c>
      <c r="C2">
        <v>2009</v>
      </c>
      <c r="D2">
        <v>2010</v>
      </c>
      <c r="E2">
        <v>2011</v>
      </c>
    </row>
    <row r="3" spans="1:5" ht="12.75">
      <c r="A3" t="s">
        <v>85</v>
      </c>
      <c r="B3" s="14">
        <v>6355768</v>
      </c>
      <c r="C3" s="14">
        <f>SUM(suvaha_2011!E14+suvaha_2011!E15)</f>
        <v>4926313</v>
      </c>
      <c r="D3" s="14">
        <f>SUM(suvaha_2011!F14+suvaha_2011!F15)</f>
        <v>4422211</v>
      </c>
      <c r="E3" s="14">
        <f>SUM(suvaha_2011!G14+suvaha_2011!G15)</f>
        <v>4553626</v>
      </c>
    </row>
    <row r="4" spans="1:5" ht="12.75">
      <c r="A4" t="s">
        <v>86</v>
      </c>
      <c r="B4" s="14">
        <f>SUM(suvaha_2011!D29)</f>
        <v>4567181</v>
      </c>
      <c r="C4" s="14">
        <f>SUM(suvaha_2011!E29)</f>
        <v>4453675</v>
      </c>
      <c r="D4" s="14">
        <f>SUM(suvaha_2011!F29)</f>
        <v>4369965</v>
      </c>
      <c r="E4" s="14">
        <f>SUM(suvaha_2011!G29)</f>
        <v>3009117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D5" sqref="D5"/>
    </sheetView>
  </sheetViews>
  <sheetFormatPr defaultColWidth="9.00390625" defaultRowHeight="12.75"/>
  <sheetData>
    <row r="2" spans="2:4" ht="12.75">
      <c r="B2">
        <v>2009</v>
      </c>
      <c r="C2">
        <v>2010</v>
      </c>
      <c r="D2">
        <v>2011</v>
      </c>
    </row>
    <row r="3" spans="1:4" ht="12.75">
      <c r="A3" t="s">
        <v>87</v>
      </c>
      <c r="B3">
        <v>8391</v>
      </c>
      <c r="C3">
        <v>9970</v>
      </c>
      <c r="D3">
        <v>10930</v>
      </c>
    </row>
    <row r="4" spans="1:4" ht="12.75">
      <c r="A4" t="s">
        <v>133</v>
      </c>
      <c r="B4">
        <v>4736</v>
      </c>
      <c r="C4">
        <v>7003</v>
      </c>
      <c r="D4">
        <v>8474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OSIVO a.s. ZVOLEN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Soňa Vašková</dc:creator>
  <cp:keywords/>
  <dc:description/>
  <cp:lastModifiedBy>Vaskova</cp:lastModifiedBy>
  <cp:lastPrinted>2012-05-24T08:58:36Z</cp:lastPrinted>
  <dcterms:created xsi:type="dcterms:W3CDTF">1998-04-06T11:43:54Z</dcterms:created>
  <dcterms:modified xsi:type="dcterms:W3CDTF">2012-05-24T10:00:00Z</dcterms:modified>
  <cp:category/>
  <cp:version/>
  <cp:contentType/>
  <cp:contentStatus/>
</cp:coreProperties>
</file>